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dropbox\Dropbox\취미\2014학년도\포만한계산기\"/>
    </mc:Choice>
  </mc:AlternateContent>
  <bookViews>
    <workbookView xWindow="0" yWindow="0" windowWidth="15825" windowHeight="6240" tabRatio="891" activeTab="1"/>
  </bookViews>
  <sheets>
    <sheet name="표지" sheetId="15" r:id="rId1"/>
    <sheet name="점수입력" sheetId="17" r:id="rId2"/>
    <sheet name="칼레누적확인" sheetId="12" r:id="rId3"/>
    <sheet name="청솔누적확인" sheetId="24" r:id="rId4"/>
    <sheet name="칼레누적표" sheetId="26" r:id="rId5"/>
    <sheet name="청솔누적표" sheetId="25" r:id="rId6"/>
    <sheet name="청솔vlookup(2)" sheetId="21" state="hidden" r:id="rId7"/>
    <sheet name="오르비누적" sheetId="10" state="hidden" r:id="rId8"/>
    <sheet name="계산내역상세" sheetId="1" r:id="rId9"/>
    <sheet name="칼레계산sheet" sheetId="6" state="hidden" r:id="rId10"/>
    <sheet name="변환표준점수" sheetId="2" state="hidden" r:id="rId11"/>
    <sheet name="탐구계산Sheet" sheetId="8" state="hidden" r:id="rId12"/>
    <sheet name="Sheet3" sheetId="13" state="hidden" r:id="rId13"/>
    <sheet name="청솔vlookup" sheetId="23" state="hidden" r:id="rId14"/>
    <sheet name="대학별탐구변환표준점수" sheetId="9" r:id="rId15"/>
    <sheet name="표백자동계산" sheetId="20" state="hidden" r:id="rId16"/>
    <sheet name="외대식.madebyfreeodd" sheetId="14" state="hidden" r:id="rId17"/>
    <sheet name="서울대사탐변표" sheetId="18" state="hidden" r:id="rId18"/>
    <sheet name="서울대사탐교차" sheetId="19" state="hidden" r:id="rId19"/>
  </sheets>
  <definedNames>
    <definedName name="_xlnm._FilterDatabase" localSheetId="12" hidden="1">Sheet3!$A$1:$B$62</definedName>
    <definedName name="_xlnm._FilterDatabase" localSheetId="10" hidden="1">변환표준점수!#REF!</definedName>
    <definedName name="_xlnm._FilterDatabase" localSheetId="7" hidden="1">오르비누적!$T$1:$V$102</definedName>
    <definedName name="_xlnm._FilterDatabase" localSheetId="13" hidden="1">청솔vlookup!$H$1:$H$325</definedName>
    <definedName name="_xlnm._FilterDatabase" localSheetId="6" hidden="1">'청솔vlookup(2)'!$S$4:$S$122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P21" i="1"/>
  <c r="O21" i="1"/>
  <c r="S1" i="12" l="1"/>
  <c r="R1" i="12"/>
  <c r="L2" i="10"/>
  <c r="L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W6" i="21" l="1"/>
  <c r="W7" i="21"/>
  <c r="W8" i="21"/>
  <c r="W9" i="21"/>
  <c r="W10" i="21"/>
  <c r="W11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0" i="21"/>
  <c r="W31" i="21"/>
  <c r="W32" i="21"/>
  <c r="W33" i="21"/>
  <c r="W34" i="21"/>
  <c r="W35" i="21"/>
  <c r="W36" i="21"/>
  <c r="W37" i="21"/>
  <c r="W38" i="21"/>
  <c r="W39" i="21"/>
  <c r="W40" i="21"/>
  <c r="W41" i="21"/>
  <c r="W42" i="21"/>
  <c r="W43" i="21"/>
  <c r="W44" i="21"/>
  <c r="W45" i="21"/>
  <c r="W46" i="21"/>
  <c r="W47" i="21"/>
  <c r="W48" i="21"/>
  <c r="W49" i="21"/>
  <c r="W50" i="21"/>
  <c r="W51" i="21"/>
  <c r="W52" i="21"/>
  <c r="W53" i="21"/>
  <c r="W54" i="21"/>
  <c r="W55" i="21"/>
  <c r="W56" i="21"/>
  <c r="W57" i="21"/>
  <c r="W58" i="21"/>
  <c r="W59" i="21"/>
  <c r="W60" i="21"/>
  <c r="W61" i="21"/>
  <c r="W62" i="21"/>
  <c r="W63" i="21"/>
  <c r="W64" i="21"/>
  <c r="W65" i="21"/>
  <c r="W66" i="21"/>
  <c r="W67" i="21"/>
  <c r="W68" i="21"/>
  <c r="W69" i="21"/>
  <c r="W70" i="21"/>
  <c r="W71" i="21"/>
  <c r="W72" i="21"/>
  <c r="W73" i="21"/>
  <c r="W74" i="21"/>
  <c r="W75" i="21"/>
  <c r="W76" i="21"/>
  <c r="W77" i="21"/>
  <c r="W78" i="21"/>
  <c r="W79" i="21"/>
  <c r="W80" i="21"/>
  <c r="W81" i="21"/>
  <c r="W82" i="21"/>
  <c r="W83" i="21"/>
  <c r="W84" i="21"/>
  <c r="W85" i="21"/>
  <c r="W86" i="21"/>
  <c r="W87" i="21"/>
  <c r="W88" i="21"/>
  <c r="W89" i="21"/>
  <c r="W90" i="21"/>
  <c r="W91" i="21"/>
  <c r="W92" i="21"/>
  <c r="W93" i="21"/>
  <c r="W94" i="21"/>
  <c r="W95" i="21"/>
  <c r="W96" i="21"/>
  <c r="W97" i="21"/>
  <c r="W98" i="21"/>
  <c r="W99" i="21"/>
  <c r="W100" i="21"/>
  <c r="W101" i="21"/>
  <c r="W102" i="21"/>
  <c r="W103" i="21"/>
  <c r="W104" i="21"/>
  <c r="W105" i="21"/>
  <c r="W106" i="21"/>
  <c r="W107" i="21"/>
  <c r="W108" i="21"/>
  <c r="W109" i="21"/>
  <c r="W110" i="21"/>
  <c r="W111" i="21"/>
  <c r="W112" i="21"/>
  <c r="W113" i="21"/>
  <c r="W114" i="21"/>
  <c r="W115" i="21"/>
  <c r="W116" i="21"/>
  <c r="W117" i="21"/>
  <c r="W118" i="21"/>
  <c r="W119" i="21"/>
  <c r="W120" i="21"/>
  <c r="W121" i="21"/>
  <c r="W122" i="21"/>
  <c r="W5" i="21"/>
  <c r="Q122" i="21" l="1"/>
  <c r="Q121" i="21"/>
  <c r="Q120" i="21"/>
  <c r="Q119" i="21"/>
  <c r="Q118" i="21"/>
  <c r="Q117" i="21"/>
  <c r="Q116" i="21"/>
  <c r="Q115" i="21"/>
  <c r="Q114" i="21"/>
  <c r="Q113" i="21"/>
  <c r="Q112" i="21"/>
  <c r="Q111" i="21"/>
  <c r="Q110" i="21"/>
  <c r="Q109" i="21"/>
  <c r="Q108" i="21"/>
  <c r="Q107" i="21"/>
  <c r="Q106" i="21"/>
  <c r="Q105" i="21"/>
  <c r="Q104" i="21"/>
  <c r="Q103" i="21"/>
  <c r="Q102" i="21"/>
  <c r="Q101" i="21"/>
  <c r="Q100" i="21"/>
  <c r="Q99" i="21"/>
  <c r="Q98" i="21"/>
  <c r="Q97" i="21"/>
  <c r="Q96" i="21"/>
  <c r="Q95" i="21"/>
  <c r="Q94" i="21"/>
  <c r="Q93" i="21"/>
  <c r="Q92" i="21"/>
  <c r="Q91" i="21"/>
  <c r="Q90" i="21"/>
  <c r="Q89" i="21"/>
  <c r="Q88" i="21"/>
  <c r="Q87" i="21"/>
  <c r="Q86" i="21"/>
  <c r="Q85" i="21"/>
  <c r="Q84" i="21"/>
  <c r="Q83" i="21"/>
  <c r="Q82" i="21"/>
  <c r="Q81" i="21"/>
  <c r="Q80" i="21"/>
  <c r="Q79" i="21"/>
  <c r="Q78" i="21"/>
  <c r="Q77" i="21"/>
  <c r="Q76" i="21"/>
  <c r="Q75" i="21"/>
  <c r="Q74" i="21"/>
  <c r="Q73" i="21"/>
  <c r="Q72" i="21"/>
  <c r="Q71" i="21"/>
  <c r="Q70" i="21"/>
  <c r="Q69" i="21"/>
  <c r="Q68" i="21"/>
  <c r="Q67" i="21"/>
  <c r="Q66" i="21"/>
  <c r="Q65" i="21"/>
  <c r="Q64" i="21"/>
  <c r="Q63" i="21"/>
  <c r="Q62" i="21"/>
  <c r="Q61" i="21"/>
  <c r="Q60" i="21"/>
  <c r="Q59" i="21"/>
  <c r="Q58" i="21"/>
  <c r="Q57" i="21"/>
  <c r="Q56" i="21"/>
  <c r="Q55" i="21"/>
  <c r="Q54" i="21"/>
  <c r="Q53" i="21"/>
  <c r="Q52" i="21"/>
  <c r="Q51" i="21"/>
  <c r="Q50" i="21"/>
  <c r="Q49" i="21"/>
  <c r="Q48" i="21"/>
  <c r="Q47" i="21"/>
  <c r="Q46" i="21"/>
  <c r="Q45" i="21"/>
  <c r="Q44" i="21"/>
  <c r="Q43" i="21"/>
  <c r="Q42" i="21"/>
  <c r="Q41" i="21"/>
  <c r="Q40" i="21"/>
  <c r="Q39" i="21"/>
  <c r="Q38" i="21"/>
  <c r="Q37" i="21"/>
  <c r="Q36" i="21"/>
  <c r="Q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Q7" i="21"/>
  <c r="Q6" i="21"/>
  <c r="Q5" i="21"/>
  <c r="I3" i="20" l="1"/>
  <c r="I2" i="20"/>
  <c r="I1" i="20"/>
  <c r="E2" i="20"/>
  <c r="F2" i="20"/>
  <c r="D2" i="20"/>
  <c r="I5" i="1"/>
  <c r="D5" i="1"/>
  <c r="E5" i="1"/>
  <c r="F5" i="1"/>
  <c r="G5" i="1"/>
  <c r="H5" i="1"/>
  <c r="C5" i="1"/>
  <c r="L3" i="1" l="1"/>
  <c r="E37" i="14" l="1"/>
  <c r="F37" i="14" s="1"/>
  <c r="E35" i="14"/>
  <c r="F35" i="14" s="1"/>
  <c r="E34" i="14"/>
  <c r="F34" i="14" s="1"/>
  <c r="E33" i="14"/>
  <c r="F33" i="14" s="1"/>
  <c r="E32" i="14"/>
  <c r="F32" i="14" s="1"/>
  <c r="E31" i="14"/>
  <c r="F31" i="14" s="1"/>
  <c r="E30" i="14"/>
  <c r="F30" i="14" s="1"/>
  <c r="E29" i="14"/>
  <c r="F29" i="14" s="1"/>
  <c r="C10" i="14"/>
  <c r="E4" i="14"/>
  <c r="D4" i="14"/>
  <c r="E1" i="20" s="1"/>
  <c r="C4" i="14"/>
  <c r="D1" i="20" s="1"/>
  <c r="J3" i="20"/>
  <c r="E7" i="17" s="1"/>
  <c r="J2" i="20"/>
  <c r="D7" i="17" s="1"/>
  <c r="F3" i="20"/>
  <c r="F4" i="20" s="1"/>
  <c r="H7" i="17" s="1"/>
  <c r="J1" i="20"/>
  <c r="C7" i="17" s="1"/>
  <c r="F1" i="20"/>
  <c r="L20" i="8"/>
  <c r="K20" i="8"/>
  <c r="H19" i="8"/>
  <c r="P7" i="8"/>
  <c r="N7" i="8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N21" i="12"/>
  <c r="N20" i="12"/>
  <c r="N19" i="12"/>
  <c r="T32" i="1"/>
  <c r="S32" i="1"/>
  <c r="R32" i="1"/>
  <c r="Q32" i="1"/>
  <c r="P32" i="1"/>
  <c r="O32" i="1"/>
  <c r="T31" i="1"/>
  <c r="S31" i="1"/>
  <c r="R31" i="1"/>
  <c r="Q31" i="1"/>
  <c r="P31" i="1"/>
  <c r="O31" i="1"/>
  <c r="T29" i="1"/>
  <c r="S29" i="1"/>
  <c r="R29" i="1"/>
  <c r="Q29" i="1"/>
  <c r="P29" i="1"/>
  <c r="O29" i="1"/>
  <c r="S28" i="1"/>
  <c r="T28" i="1" s="1"/>
  <c r="R28" i="1"/>
  <c r="Q28" i="1"/>
  <c r="P28" i="1"/>
  <c r="O28" i="1"/>
  <c r="T26" i="1"/>
  <c r="S26" i="1"/>
  <c r="R26" i="1"/>
  <c r="Q26" i="1"/>
  <c r="P26" i="1"/>
  <c r="O26" i="1"/>
  <c r="T25" i="1"/>
  <c r="S25" i="1"/>
  <c r="R25" i="1"/>
  <c r="Q25" i="1"/>
  <c r="P25" i="1"/>
  <c r="O25" i="1"/>
  <c r="T24" i="1"/>
  <c r="S24" i="1"/>
  <c r="R24" i="1"/>
  <c r="Q24" i="1"/>
  <c r="P24" i="1"/>
  <c r="O24" i="1"/>
  <c r="T23" i="1"/>
  <c r="S23" i="1"/>
  <c r="R23" i="1"/>
  <c r="Q23" i="1"/>
  <c r="P23" i="1"/>
  <c r="O23" i="1"/>
  <c r="T22" i="1"/>
  <c r="S22" i="1"/>
  <c r="R22" i="1"/>
  <c r="Q22" i="1"/>
  <c r="P22" i="1"/>
  <c r="O22" i="1"/>
  <c r="T16" i="1"/>
  <c r="S16" i="1"/>
  <c r="R16" i="1"/>
  <c r="Q16" i="1"/>
  <c r="P16" i="1"/>
  <c r="O16" i="1"/>
  <c r="I6" i="1"/>
  <c r="H14" i="1" s="1"/>
  <c r="D2" i="8"/>
  <c r="G33" i="1"/>
  <c r="F33" i="1"/>
  <c r="E33" i="1"/>
  <c r="D7" i="1"/>
  <c r="C33" i="1"/>
  <c r="H3" i="1"/>
  <c r="G3" i="1" l="1"/>
  <c r="H6" i="1"/>
  <c r="H7" i="1" s="1"/>
  <c r="C6" i="1"/>
  <c r="D6" i="1"/>
  <c r="E6" i="1"/>
  <c r="H33" i="1"/>
  <c r="E5" i="14"/>
  <c r="E36" i="14" s="1"/>
  <c r="F36" i="14" s="1"/>
  <c r="D15" i="1"/>
  <c r="D33" i="1"/>
  <c r="D5" i="14"/>
  <c r="C2" i="8"/>
  <c r="C23" i="8" s="1"/>
  <c r="E3" i="20"/>
  <c r="E4" i="20" s="1"/>
  <c r="G7" i="17" s="1"/>
  <c r="C5" i="14"/>
  <c r="E25" i="14"/>
  <c r="F25" i="14" s="1"/>
  <c r="D3" i="8"/>
  <c r="E6" i="14"/>
  <c r="E20" i="14"/>
  <c r="H20" i="14" s="1"/>
  <c r="E24" i="14"/>
  <c r="H24" i="14" s="1"/>
  <c r="D3" i="20"/>
  <c r="D4" i="20" s="1"/>
  <c r="F7" i="17" s="1"/>
  <c r="E19" i="14"/>
  <c r="I19" i="14" s="1"/>
  <c r="E22" i="14"/>
  <c r="I22" i="14" s="1"/>
  <c r="E26" i="14"/>
  <c r="I26" i="14" s="1"/>
  <c r="F3" i="1"/>
  <c r="E17" i="14"/>
  <c r="I17" i="14" s="1"/>
  <c r="E23" i="14"/>
  <c r="E7" i="1"/>
  <c r="E28" i="1" s="1"/>
  <c r="D32" i="1"/>
  <c r="D23" i="1"/>
  <c r="D22" i="1"/>
  <c r="D27" i="1"/>
  <c r="D19" i="1"/>
  <c r="D31" i="1"/>
  <c r="D28" i="1"/>
  <c r="D26" i="1"/>
  <c r="D21" i="1"/>
  <c r="D16" i="1"/>
  <c r="D14" i="1"/>
  <c r="D25" i="1"/>
  <c r="D24" i="1"/>
  <c r="D29" i="1"/>
  <c r="D18" i="1"/>
  <c r="D20" i="1"/>
  <c r="C7" i="1"/>
  <c r="C15" i="1"/>
  <c r="B2" i="8"/>
  <c r="B23" i="8" s="1"/>
  <c r="E21" i="14" l="1"/>
  <c r="H21" i="14" s="1"/>
  <c r="I33" i="1"/>
  <c r="D28" i="24" s="1"/>
  <c r="F6" i="1"/>
  <c r="C6" i="14" s="1"/>
  <c r="G6" i="1"/>
  <c r="C3" i="8" s="1"/>
  <c r="C18" i="8" s="1"/>
  <c r="G28" i="1" s="1"/>
  <c r="E25" i="1"/>
  <c r="E18" i="14"/>
  <c r="F18" i="14" s="1"/>
  <c r="E18" i="1"/>
  <c r="E14" i="1"/>
  <c r="E15" i="1" s="1"/>
  <c r="E27" i="1"/>
  <c r="E19" i="1"/>
  <c r="E16" i="1"/>
  <c r="I25" i="14"/>
  <c r="H25" i="14"/>
  <c r="F19" i="14"/>
  <c r="H19" i="14"/>
  <c r="D18" i="8"/>
  <c r="H28" i="1" s="1"/>
  <c r="D15" i="8"/>
  <c r="H25" i="1" s="1"/>
  <c r="D11" i="8"/>
  <c r="H21" i="1" s="1"/>
  <c r="D6" i="8"/>
  <c r="H16" i="1" s="1"/>
  <c r="D22" i="8"/>
  <c r="H32" i="1" s="1"/>
  <c r="D7" i="8"/>
  <c r="D9" i="8"/>
  <c r="D19" i="8"/>
  <c r="D16" i="8"/>
  <c r="H26" i="1" s="1"/>
  <c r="D14" i="8"/>
  <c r="H24" i="1" s="1"/>
  <c r="D12" i="8"/>
  <c r="D21" i="8"/>
  <c r="F17" i="14"/>
  <c r="F26" i="14"/>
  <c r="H26" i="14"/>
  <c r="F24" i="14"/>
  <c r="I24" i="14"/>
  <c r="H17" i="14"/>
  <c r="F23" i="14"/>
  <c r="H23" i="14"/>
  <c r="I23" i="14"/>
  <c r="F22" i="14"/>
  <c r="H22" i="14"/>
  <c r="F20" i="14"/>
  <c r="I20" i="14"/>
  <c r="E26" i="1"/>
  <c r="E24" i="1"/>
  <c r="E32" i="1"/>
  <c r="E23" i="1"/>
  <c r="E21" i="1"/>
  <c r="E31" i="1"/>
  <c r="E20" i="1"/>
  <c r="E29" i="1"/>
  <c r="E22" i="1"/>
  <c r="C29" i="1"/>
  <c r="C24" i="1"/>
  <c r="C18" i="1"/>
  <c r="C32" i="1"/>
  <c r="C23" i="1"/>
  <c r="C31" i="1"/>
  <c r="C26" i="1"/>
  <c r="C14" i="1"/>
  <c r="C27" i="1"/>
  <c r="C22" i="1"/>
  <c r="C21" i="1"/>
  <c r="C20" i="1"/>
  <c r="C28" i="1"/>
  <c r="C25" i="1"/>
  <c r="C19" i="1"/>
  <c r="C16" i="1"/>
  <c r="I21" i="14" l="1"/>
  <c r="F21" i="14"/>
  <c r="H18" i="14"/>
  <c r="I18" i="14"/>
  <c r="D8" i="14" s="1"/>
  <c r="G15" i="1" s="1"/>
  <c r="F7" i="1"/>
  <c r="K21" i="17"/>
  <c r="Q28" i="17" s="1"/>
  <c r="B3" i="8"/>
  <c r="B7" i="8" s="1"/>
  <c r="D27" i="6"/>
  <c r="G7" i="1"/>
  <c r="O21" i="12"/>
  <c r="D6" i="14"/>
  <c r="C6" i="8"/>
  <c r="G16" i="1" s="1"/>
  <c r="I20" i="1"/>
  <c r="D14" i="24" s="1"/>
  <c r="C14" i="8"/>
  <c r="G24" i="1" s="1"/>
  <c r="C19" i="8"/>
  <c r="C20" i="8" s="1"/>
  <c r="C12" i="8"/>
  <c r="G22" i="1" s="1"/>
  <c r="C15" i="8"/>
  <c r="G25" i="1" s="1"/>
  <c r="C16" i="8"/>
  <c r="G26" i="1" s="1"/>
  <c r="C10" i="8"/>
  <c r="C11" i="8" s="1"/>
  <c r="G21" i="1" s="1"/>
  <c r="C21" i="8"/>
  <c r="G31" i="1" s="1"/>
  <c r="C22" i="8"/>
  <c r="G32" i="1" s="1"/>
  <c r="C7" i="8"/>
  <c r="C9" i="8"/>
  <c r="C8" i="8" s="1"/>
  <c r="G18" i="1" s="1"/>
  <c r="C7" i="14"/>
  <c r="F14" i="1" s="1"/>
  <c r="G18" i="14"/>
  <c r="G27" i="1" s="1"/>
  <c r="D7" i="14"/>
  <c r="G14" i="1" s="1"/>
  <c r="G17" i="14"/>
  <c r="F27" i="1" s="1"/>
  <c r="D13" i="8"/>
  <c r="H23" i="1" s="1"/>
  <c r="H22" i="1"/>
  <c r="D8" i="8"/>
  <c r="H18" i="1" s="1"/>
  <c r="H19" i="1"/>
  <c r="H29" i="1"/>
  <c r="D20" i="8"/>
  <c r="C8" i="14" l="1"/>
  <c r="F15" i="1" s="1"/>
  <c r="I15" i="1" s="1"/>
  <c r="D9" i="24" s="1"/>
  <c r="H9" i="24" s="1"/>
  <c r="B9" i="8"/>
  <c r="F19" i="1" s="1"/>
  <c r="B19" i="8"/>
  <c r="F29" i="1" s="1"/>
  <c r="B12" i="8"/>
  <c r="F22" i="1" s="1"/>
  <c r="I22" i="1" s="1"/>
  <c r="B10" i="8"/>
  <c r="B11" i="8" s="1"/>
  <c r="F21" i="1" s="1"/>
  <c r="B16" i="8"/>
  <c r="F26" i="1" s="1"/>
  <c r="B6" i="8"/>
  <c r="F16" i="1" s="1"/>
  <c r="I16" i="1" s="1"/>
  <c r="K6" i="17" s="1"/>
  <c r="B18" i="8"/>
  <c r="F28" i="1" s="1"/>
  <c r="I28" i="1" s="1"/>
  <c r="D22" i="6" s="1"/>
  <c r="O17" i="12" s="1"/>
  <c r="B21" i="8"/>
  <c r="F31" i="1" s="1"/>
  <c r="I31" i="1" s="1"/>
  <c r="D25" i="24" s="1"/>
  <c r="G29" i="1"/>
  <c r="B14" i="8"/>
  <c r="F24" i="1" s="1"/>
  <c r="I24" i="1" s="1"/>
  <c r="D18" i="24" s="1"/>
  <c r="B15" i="8"/>
  <c r="F25" i="1" s="1"/>
  <c r="I25" i="1" s="1"/>
  <c r="B22" i="8"/>
  <c r="F32" i="1" s="1"/>
  <c r="I32" i="1" s="1"/>
  <c r="K8" i="17"/>
  <c r="Q10" i="17"/>
  <c r="C13" i="8"/>
  <c r="G23" i="1" s="1"/>
  <c r="D14" i="6"/>
  <c r="H14" i="6" s="1"/>
  <c r="F14" i="24"/>
  <c r="G14" i="24"/>
  <c r="H14" i="24"/>
  <c r="B8" i="8"/>
  <c r="F18" i="1" s="1"/>
  <c r="I18" i="1" s="1"/>
  <c r="I26" i="1"/>
  <c r="D20" i="6" s="1"/>
  <c r="O15" i="12" s="1"/>
  <c r="B20" i="8"/>
  <c r="H20" i="8" s="1"/>
  <c r="N20" i="8" s="1"/>
  <c r="K7" i="8"/>
  <c r="L9" i="8" s="1"/>
  <c r="I21" i="1"/>
  <c r="G19" i="1"/>
  <c r="I19" i="1" s="1"/>
  <c r="I14" i="1"/>
  <c r="D8" i="24" s="1"/>
  <c r="I7" i="8"/>
  <c r="J9" i="8" s="1"/>
  <c r="I27" i="1"/>
  <c r="E22" i="12" l="1"/>
  <c r="I29" i="1"/>
  <c r="K12" i="17" s="1"/>
  <c r="B13" i="8"/>
  <c r="F23" i="1" s="1"/>
  <c r="I23" i="1" s="1"/>
  <c r="D17" i="24" s="1"/>
  <c r="Q7" i="17"/>
  <c r="E6" i="12" s="1"/>
  <c r="D9" i="6"/>
  <c r="H9" i="6" s="1"/>
  <c r="G9" i="24"/>
  <c r="F9" i="24"/>
  <c r="Q14" i="17"/>
  <c r="Q24" i="17" s="1"/>
  <c r="K14" i="17"/>
  <c r="D18" i="6" s="1"/>
  <c r="O13" i="12" s="1"/>
  <c r="B22" i="12" s="1"/>
  <c r="H18" i="24"/>
  <c r="F18" i="24"/>
  <c r="O18" i="24" s="1"/>
  <c r="D22" i="24"/>
  <c r="H22" i="24" s="1"/>
  <c r="Q18" i="17"/>
  <c r="Q29" i="17" s="1"/>
  <c r="D10" i="24"/>
  <c r="G10" i="24" s="1"/>
  <c r="F14" i="6"/>
  <c r="D27" i="24"/>
  <c r="D26" i="6"/>
  <c r="K20" i="17"/>
  <c r="Q21" i="17"/>
  <c r="O20" i="12"/>
  <c r="D19" i="24"/>
  <c r="Q15" i="17"/>
  <c r="K15" i="17"/>
  <c r="D19" i="6" s="1"/>
  <c r="O14" i="12" s="1"/>
  <c r="D10" i="6"/>
  <c r="O9" i="12"/>
  <c r="G14" i="6"/>
  <c r="I20" i="8"/>
  <c r="O20" i="8" s="1"/>
  <c r="O18" i="8" s="1"/>
  <c r="F25" i="24"/>
  <c r="R19" i="17" s="1"/>
  <c r="H25" i="24"/>
  <c r="D13" i="6"/>
  <c r="D13" i="24"/>
  <c r="L14" i="24"/>
  <c r="O14" i="24"/>
  <c r="N14" i="24"/>
  <c r="Q14" i="24"/>
  <c r="M14" i="24"/>
  <c r="P14" i="24"/>
  <c r="K9" i="17"/>
  <c r="D15" i="24"/>
  <c r="K16" i="17"/>
  <c r="D20" i="24"/>
  <c r="D21" i="6"/>
  <c r="O16" i="12" s="1"/>
  <c r="D21" i="24"/>
  <c r="Q8" i="17"/>
  <c r="D12" i="24"/>
  <c r="D16" i="6"/>
  <c r="D16" i="24"/>
  <c r="D23" i="24"/>
  <c r="N23" i="24" s="1"/>
  <c r="Q16" i="17"/>
  <c r="Q25" i="17" s="1"/>
  <c r="O19" i="12"/>
  <c r="H8" i="24"/>
  <c r="F8" i="24"/>
  <c r="G8" i="24"/>
  <c r="O9" i="24"/>
  <c r="N9" i="24"/>
  <c r="P9" i="24"/>
  <c r="L9" i="24"/>
  <c r="Q9" i="24"/>
  <c r="M9" i="24"/>
  <c r="Q6" i="17"/>
  <c r="Q7" i="8"/>
  <c r="R17" i="1" s="1"/>
  <c r="F17" i="1" s="1"/>
  <c r="K18" i="17"/>
  <c r="D25" i="6"/>
  <c r="D15" i="6"/>
  <c r="Q11" i="17"/>
  <c r="I17" i="1"/>
  <c r="D8" i="6"/>
  <c r="K17" i="17"/>
  <c r="Q17" i="17"/>
  <c r="D12" i="6"/>
  <c r="Q12" i="17"/>
  <c r="K10" i="17"/>
  <c r="Q9" i="17"/>
  <c r="N14" i="6"/>
  <c r="E23" i="12" s="1"/>
  <c r="O14" i="6"/>
  <c r="F23" i="12" s="1"/>
  <c r="Q14" i="6"/>
  <c r="F24" i="12" s="1"/>
  <c r="M14" i="6"/>
  <c r="P14" i="6"/>
  <c r="E24" i="12" s="1"/>
  <c r="L14" i="6"/>
  <c r="E21" i="12" s="1"/>
  <c r="N18" i="8"/>
  <c r="I9" i="24" l="1"/>
  <c r="I14" i="6"/>
  <c r="L20" i="1" s="1"/>
  <c r="M8" i="17" s="1"/>
  <c r="I14" i="24"/>
  <c r="G15" i="6"/>
  <c r="H22" i="12"/>
  <c r="H16" i="6"/>
  <c r="M16" i="6" s="1"/>
  <c r="H14" i="12"/>
  <c r="F13" i="6"/>
  <c r="E14" i="12"/>
  <c r="D23" i="6"/>
  <c r="O18" i="12" s="1"/>
  <c r="F12" i="6"/>
  <c r="B14" i="12"/>
  <c r="G10" i="6"/>
  <c r="H6" i="12"/>
  <c r="O4" i="12"/>
  <c r="B6" i="12"/>
  <c r="F18" i="6"/>
  <c r="O18" i="6" s="1"/>
  <c r="C23" i="12" s="1"/>
  <c r="H18" i="6"/>
  <c r="G18" i="6"/>
  <c r="G9" i="6"/>
  <c r="F9" i="6"/>
  <c r="H10" i="24"/>
  <c r="O10" i="24" s="1"/>
  <c r="F10" i="24"/>
  <c r="L22" i="24"/>
  <c r="M22" i="24" s="1"/>
  <c r="I22" i="24" s="1"/>
  <c r="N22" i="24"/>
  <c r="F22" i="24"/>
  <c r="O22" i="24" s="1"/>
  <c r="N18" i="24"/>
  <c r="M18" i="24"/>
  <c r="L18" i="24"/>
  <c r="H10" i="6"/>
  <c r="M10" i="6" s="1"/>
  <c r="D17" i="6"/>
  <c r="K11" i="17"/>
  <c r="Q13" i="17"/>
  <c r="F27" i="24"/>
  <c r="H27" i="24"/>
  <c r="O5" i="12"/>
  <c r="F10" i="6"/>
  <c r="G13" i="6"/>
  <c r="O8" i="12"/>
  <c r="H13" i="6"/>
  <c r="M13" i="6" s="1"/>
  <c r="Q19" i="17"/>
  <c r="Q27" i="17" s="1"/>
  <c r="K19" i="17"/>
  <c r="D26" i="24" s="1"/>
  <c r="Q17" i="1"/>
  <c r="E17" i="1" s="1"/>
  <c r="O11" i="12"/>
  <c r="I30" i="1"/>
  <c r="K13" i="17" s="1"/>
  <c r="P20" i="8"/>
  <c r="O30" i="1" s="1"/>
  <c r="C30" i="1" s="1"/>
  <c r="L18" i="17"/>
  <c r="R26" i="17" s="1"/>
  <c r="K31" i="1"/>
  <c r="G16" i="6"/>
  <c r="F16" i="6"/>
  <c r="F21" i="24"/>
  <c r="O21" i="24" s="1"/>
  <c r="H21" i="24"/>
  <c r="F23" i="24"/>
  <c r="O23" i="24" s="1"/>
  <c r="H23" i="24"/>
  <c r="L23" i="24" s="1"/>
  <c r="M23" i="24" s="1"/>
  <c r="H20" i="24"/>
  <c r="F20" i="24"/>
  <c r="O20" i="24" s="1"/>
  <c r="G15" i="24"/>
  <c r="F15" i="24"/>
  <c r="H15" i="24"/>
  <c r="K7" i="17"/>
  <c r="D11" i="24"/>
  <c r="F13" i="24"/>
  <c r="G13" i="24"/>
  <c r="H13" i="24"/>
  <c r="F12" i="24"/>
  <c r="H12" i="24"/>
  <c r="G12" i="24"/>
  <c r="Q10" i="24"/>
  <c r="M10" i="24"/>
  <c r="P8" i="24"/>
  <c r="L8" i="24"/>
  <c r="Q8" i="24"/>
  <c r="O8" i="24"/>
  <c r="M8" i="24"/>
  <c r="N8" i="24"/>
  <c r="P17" i="1"/>
  <c r="D17" i="1" s="1"/>
  <c r="S17" i="1"/>
  <c r="G17" i="1" s="1"/>
  <c r="T17" i="1"/>
  <c r="H17" i="1" s="1"/>
  <c r="O17" i="1"/>
  <c r="C17" i="1" s="1"/>
  <c r="H15" i="6"/>
  <c r="Q15" i="6" s="1"/>
  <c r="I24" i="12" s="1"/>
  <c r="F15" i="6"/>
  <c r="O10" i="12"/>
  <c r="D11" i="6"/>
  <c r="K6" i="12" s="1"/>
  <c r="G8" i="6"/>
  <c r="F8" i="6"/>
  <c r="H8" i="6"/>
  <c r="Q8" i="6" s="1"/>
  <c r="C8" i="12" s="1"/>
  <c r="O7" i="12"/>
  <c r="G12" i="6"/>
  <c r="H12" i="6"/>
  <c r="Q12" i="6" s="1"/>
  <c r="C16" i="12" s="1"/>
  <c r="Q9" i="6"/>
  <c r="F8" i="12" s="1"/>
  <c r="P9" i="6"/>
  <c r="E8" i="12" s="1"/>
  <c r="M9" i="6"/>
  <c r="N9" i="6"/>
  <c r="E7" i="12" s="1"/>
  <c r="L9" i="6"/>
  <c r="E5" i="12" s="1"/>
  <c r="O9" i="6"/>
  <c r="F7" i="12" s="1"/>
  <c r="F21" i="12"/>
  <c r="E25" i="12" s="1"/>
  <c r="T10" i="17" s="1"/>
  <c r="N8" i="17" s="1"/>
  <c r="Q16" i="6"/>
  <c r="I16" i="12" s="1"/>
  <c r="P16" i="6"/>
  <c r="H16" i="12" s="1"/>
  <c r="I9" i="6" l="1"/>
  <c r="L15" i="1" s="1"/>
  <c r="S7" i="17" s="1"/>
  <c r="F5" i="12"/>
  <c r="E9" i="12" s="1"/>
  <c r="T7" i="17" s="1"/>
  <c r="I8" i="24"/>
  <c r="R6" i="17" s="1"/>
  <c r="I10" i="24"/>
  <c r="K16" i="1" s="1"/>
  <c r="L6" i="17" s="1"/>
  <c r="I18" i="24"/>
  <c r="K24" i="1" s="1"/>
  <c r="L14" i="17" s="1"/>
  <c r="I5" i="12"/>
  <c r="L16" i="6"/>
  <c r="H13" i="12" s="1"/>
  <c r="P10" i="24"/>
  <c r="O12" i="12"/>
  <c r="K14" i="12"/>
  <c r="O16" i="6"/>
  <c r="I15" i="12" s="1"/>
  <c r="N16" i="6"/>
  <c r="H15" i="12" s="1"/>
  <c r="Q18" i="6"/>
  <c r="C24" i="12" s="1"/>
  <c r="N18" i="6"/>
  <c r="B23" i="12" s="1"/>
  <c r="M18" i="6"/>
  <c r="P18" i="6"/>
  <c r="B24" i="12" s="1"/>
  <c r="L18" i="6"/>
  <c r="B21" i="12" s="1"/>
  <c r="L10" i="6"/>
  <c r="H5" i="12" s="1"/>
  <c r="L10" i="24"/>
  <c r="N10" i="24"/>
  <c r="Q10" i="6"/>
  <c r="I8" i="12" s="1"/>
  <c r="G17" i="6"/>
  <c r="N10" i="6"/>
  <c r="H7" i="12" s="1"/>
  <c r="K28" i="1"/>
  <c r="R18" i="17" s="1"/>
  <c r="R29" i="17" s="1"/>
  <c r="N20" i="24"/>
  <c r="L20" i="24"/>
  <c r="M20" i="24" s="1"/>
  <c r="N21" i="24"/>
  <c r="L21" i="24"/>
  <c r="M21" i="24" s="1"/>
  <c r="F17" i="6"/>
  <c r="I23" i="24"/>
  <c r="K29" i="1" s="1"/>
  <c r="L12" i="17" s="1"/>
  <c r="H17" i="6"/>
  <c r="P17" i="6" s="1"/>
  <c r="K16" i="12" s="1"/>
  <c r="P10" i="6"/>
  <c r="H8" i="12" s="1"/>
  <c r="O10" i="6"/>
  <c r="I7" i="12" s="1"/>
  <c r="L13" i="6"/>
  <c r="E13" i="12" s="1"/>
  <c r="Q13" i="6"/>
  <c r="F16" i="12" s="1"/>
  <c r="P13" i="6"/>
  <c r="E16" i="12" s="1"/>
  <c r="O13" i="6"/>
  <c r="F15" i="12" s="1"/>
  <c r="R21" i="17"/>
  <c r="L20" i="17"/>
  <c r="K32" i="1"/>
  <c r="N13" i="6"/>
  <c r="E15" i="12" s="1"/>
  <c r="Q20" i="17"/>
  <c r="Q26" i="17"/>
  <c r="K15" i="1"/>
  <c r="R7" i="17"/>
  <c r="D24" i="24"/>
  <c r="P30" i="1"/>
  <c r="D30" i="1" s="1"/>
  <c r="Q30" i="1"/>
  <c r="E30" i="1" s="1"/>
  <c r="R30" i="1"/>
  <c r="F30" i="1" s="1"/>
  <c r="T30" i="1"/>
  <c r="H30" i="1" s="1"/>
  <c r="S30" i="1"/>
  <c r="G30" i="1" s="1"/>
  <c r="H26" i="24"/>
  <c r="F26" i="24"/>
  <c r="O13" i="24"/>
  <c r="P13" i="24"/>
  <c r="Q13" i="24"/>
  <c r="M13" i="24"/>
  <c r="N13" i="24"/>
  <c r="L13" i="24"/>
  <c r="O15" i="24"/>
  <c r="L15" i="24"/>
  <c r="P15" i="24"/>
  <c r="N15" i="24"/>
  <c r="M15" i="24"/>
  <c r="Q15" i="24"/>
  <c r="H11" i="24"/>
  <c r="G11" i="24"/>
  <c r="F11" i="24"/>
  <c r="P12" i="24"/>
  <c r="L12" i="24"/>
  <c r="M12" i="24"/>
  <c r="Q12" i="24"/>
  <c r="N12" i="24"/>
  <c r="O12" i="24"/>
  <c r="N15" i="6"/>
  <c r="H23" i="12" s="1"/>
  <c r="G11" i="6"/>
  <c r="M15" i="6"/>
  <c r="L15" i="6"/>
  <c r="H21" i="12" s="1"/>
  <c r="H11" i="6"/>
  <c r="M11" i="6" s="1"/>
  <c r="O15" i="6"/>
  <c r="I23" i="12" s="1"/>
  <c r="F11" i="6"/>
  <c r="P15" i="6"/>
  <c r="H24" i="12" s="1"/>
  <c r="O6" i="12"/>
  <c r="P8" i="6"/>
  <c r="B8" i="12" s="1"/>
  <c r="L12" i="6"/>
  <c r="B13" i="12" s="1"/>
  <c r="N12" i="6"/>
  <c r="B15" i="12" s="1"/>
  <c r="M12" i="6"/>
  <c r="P12" i="6"/>
  <c r="B16" i="12" s="1"/>
  <c r="O12" i="6"/>
  <c r="C15" i="12" s="1"/>
  <c r="O8" i="6"/>
  <c r="C7" i="12" s="1"/>
  <c r="L8" i="6"/>
  <c r="B5" i="12" s="1"/>
  <c r="M8" i="6"/>
  <c r="N8" i="6"/>
  <c r="B7" i="12" s="1"/>
  <c r="S10" i="17"/>
  <c r="F13" i="12"/>
  <c r="I13" i="12"/>
  <c r="I15" i="24" l="1"/>
  <c r="K21" i="1" s="1"/>
  <c r="L9" i="17" s="1"/>
  <c r="R11" i="17" s="1"/>
  <c r="I15" i="6"/>
  <c r="L21" i="1" s="1"/>
  <c r="M9" i="17" s="1"/>
  <c r="I8" i="6"/>
  <c r="L14" i="1" s="1"/>
  <c r="S6" i="17" s="1"/>
  <c r="I16" i="6"/>
  <c r="I12" i="6"/>
  <c r="L18" i="1" s="1"/>
  <c r="S8" i="17" s="1"/>
  <c r="I10" i="6"/>
  <c r="L16" i="1" s="1"/>
  <c r="M6" i="17" s="1"/>
  <c r="I13" i="6"/>
  <c r="L19" i="1" s="1"/>
  <c r="S9" i="17" s="1"/>
  <c r="H9" i="12"/>
  <c r="N6" i="17" s="1"/>
  <c r="I12" i="24"/>
  <c r="R24" i="17"/>
  <c r="R14" i="17"/>
  <c r="I21" i="24"/>
  <c r="K27" i="1" s="1"/>
  <c r="L17" i="17" s="1"/>
  <c r="R17" i="17" s="1"/>
  <c r="I13" i="24"/>
  <c r="I20" i="24"/>
  <c r="K26" i="1" s="1"/>
  <c r="L16" i="17" s="1"/>
  <c r="H17" i="12"/>
  <c r="T12" i="17" s="1"/>
  <c r="N10" i="17" s="1"/>
  <c r="L22" i="1"/>
  <c r="M10" i="17" s="1"/>
  <c r="E17" i="12"/>
  <c r="T9" i="17" s="1"/>
  <c r="I18" i="6"/>
  <c r="L24" i="1" s="1"/>
  <c r="M14" i="17" s="1"/>
  <c r="S14" i="17" s="1"/>
  <c r="S24" i="17" s="1"/>
  <c r="C21" i="12"/>
  <c r="B25" i="12" s="1"/>
  <c r="T14" i="17" s="1"/>
  <c r="Q17" i="6"/>
  <c r="L16" i="12" s="1"/>
  <c r="O17" i="6"/>
  <c r="L15" i="12" s="1"/>
  <c r="N17" i="6"/>
  <c r="K15" i="12" s="1"/>
  <c r="M17" i="6"/>
  <c r="L17" i="6"/>
  <c r="K13" i="12" s="1"/>
  <c r="K14" i="1"/>
  <c r="L19" i="17"/>
  <c r="R27" i="17" s="1"/>
  <c r="R20" i="17"/>
  <c r="P11" i="24"/>
  <c r="M11" i="24"/>
  <c r="N11" i="24"/>
  <c r="O11" i="24"/>
  <c r="L11" i="24"/>
  <c r="Q11" i="24"/>
  <c r="Q11" i="6"/>
  <c r="L8" i="12" s="1"/>
  <c r="P11" i="6"/>
  <c r="K8" i="12" s="1"/>
  <c r="O11" i="6"/>
  <c r="L7" i="12" s="1"/>
  <c r="L11" i="6"/>
  <c r="K5" i="12" s="1"/>
  <c r="N11" i="6"/>
  <c r="K7" i="12" s="1"/>
  <c r="I21" i="12"/>
  <c r="H25" i="12" s="1"/>
  <c r="T11" i="17" s="1"/>
  <c r="N9" i="17" s="1"/>
  <c r="C13" i="12"/>
  <c r="B17" i="12" s="1"/>
  <c r="T8" i="17" s="1"/>
  <c r="C5" i="12"/>
  <c r="B9" i="12" s="1"/>
  <c r="T6" i="17" s="1"/>
  <c r="L5" i="12"/>
  <c r="L13" i="12" l="1"/>
  <c r="K17" i="12" s="1"/>
  <c r="T13" i="17" s="1"/>
  <c r="N11" i="17" s="1"/>
  <c r="I17" i="6"/>
  <c r="L23" i="1" s="1"/>
  <c r="M11" i="17" s="1"/>
  <c r="I11" i="6"/>
  <c r="L17" i="1" s="1"/>
  <c r="M7" i="17" s="1"/>
  <c r="R25" i="17"/>
  <c r="R16" i="17"/>
  <c r="I11" i="24"/>
  <c r="K17" i="1" s="1"/>
  <c r="L7" i="17" s="1"/>
  <c r="S12" i="17"/>
  <c r="N14" i="17"/>
  <c r="T24" i="17"/>
  <c r="K9" i="12"/>
  <c r="N7" i="17" s="1"/>
  <c r="K19" i="1"/>
  <c r="R9" i="17"/>
  <c r="K18" i="1"/>
  <c r="R8" i="17"/>
  <c r="S11" i="17"/>
  <c r="S13" i="17" l="1"/>
</calcChain>
</file>

<file path=xl/sharedStrings.xml><?xml version="1.0" encoding="utf-8"?>
<sst xmlns="http://schemas.openxmlformats.org/spreadsheetml/2006/main" count="2713" uniqueCount="1631">
  <si>
    <t>백분위점수</t>
    <phoneticPr fontId="1" type="noConversion"/>
  </si>
  <si>
    <t>서울대</t>
    <phoneticPr fontId="1" type="noConversion"/>
  </si>
  <si>
    <t>서울대</t>
    <phoneticPr fontId="1" type="noConversion"/>
  </si>
  <si>
    <t>연세대</t>
    <phoneticPr fontId="1" type="noConversion"/>
  </si>
  <si>
    <t>합계</t>
    <phoneticPr fontId="1" type="noConversion"/>
  </si>
  <si>
    <t>변환</t>
    <phoneticPr fontId="1" type="noConversion"/>
  </si>
  <si>
    <t>영어B</t>
    <phoneticPr fontId="1" type="noConversion"/>
  </si>
  <si>
    <t>만점</t>
    <phoneticPr fontId="1" type="noConversion"/>
  </si>
  <si>
    <t>성균관대우선</t>
    <phoneticPr fontId="1" type="noConversion"/>
  </si>
  <si>
    <t>성균관대일반</t>
    <phoneticPr fontId="1" type="noConversion"/>
  </si>
  <si>
    <t>중앙대</t>
    <phoneticPr fontId="1" type="noConversion"/>
  </si>
  <si>
    <t>경희대</t>
    <phoneticPr fontId="1" type="noConversion"/>
  </si>
  <si>
    <t>시립대 일반</t>
    <phoneticPr fontId="1" type="noConversion"/>
  </si>
  <si>
    <t>합/만점합</t>
    <phoneticPr fontId="1" type="noConversion"/>
  </si>
  <si>
    <t>합</t>
    <phoneticPr fontId="1" type="noConversion"/>
  </si>
  <si>
    <t>과탐</t>
  </si>
  <si>
    <t>표준점수</t>
    <phoneticPr fontId="1" type="noConversion"/>
  </si>
  <si>
    <t>백분위</t>
    <phoneticPr fontId="1" type="noConversion"/>
  </si>
  <si>
    <t>변표</t>
    <phoneticPr fontId="1" type="noConversion"/>
  </si>
  <si>
    <t>이화여대</t>
    <phoneticPr fontId="1" type="noConversion"/>
  </si>
  <si>
    <t>서울대</t>
  </si>
  <si>
    <t>연세대</t>
  </si>
  <si>
    <t>환산점수</t>
    <phoneticPr fontId="1" type="noConversion"/>
  </si>
  <si>
    <t>환산점수</t>
    <phoneticPr fontId="1" type="noConversion"/>
  </si>
  <si>
    <t>산출점수</t>
    <phoneticPr fontId="1" type="noConversion"/>
  </si>
  <si>
    <t>누적백분위</t>
    <phoneticPr fontId="1" type="noConversion"/>
  </si>
  <si>
    <t>연세대</t>
    <phoneticPr fontId="1" type="noConversion"/>
  </si>
  <si>
    <t>변환표준점수</t>
    <phoneticPr fontId="1" type="noConversion"/>
  </si>
  <si>
    <t>성균관대</t>
    <phoneticPr fontId="1" type="noConversion"/>
  </si>
  <si>
    <t>중앙대</t>
    <phoneticPr fontId="1" type="noConversion"/>
  </si>
  <si>
    <t>시립대</t>
    <phoneticPr fontId="1" type="noConversion"/>
  </si>
  <si>
    <t>표점</t>
    <phoneticPr fontId="1" type="noConversion"/>
  </si>
  <si>
    <t>백분위</t>
    <phoneticPr fontId="1" type="noConversion"/>
  </si>
  <si>
    <t>변표</t>
  </si>
  <si>
    <t>제2</t>
    <phoneticPr fontId="1" type="noConversion"/>
  </si>
  <si>
    <t>사탐1</t>
    <phoneticPr fontId="1" type="noConversion"/>
  </si>
  <si>
    <t>사탐2</t>
    <phoneticPr fontId="1" type="noConversion"/>
  </si>
  <si>
    <t>사탐1</t>
    <phoneticPr fontId="1" type="noConversion"/>
  </si>
  <si>
    <t>사탐2</t>
    <phoneticPr fontId="1" type="noConversion"/>
  </si>
  <si>
    <t>제2</t>
    <phoneticPr fontId="1" type="noConversion"/>
  </si>
  <si>
    <t>국어B</t>
    <phoneticPr fontId="1" type="noConversion"/>
  </si>
  <si>
    <t>수학A</t>
    <phoneticPr fontId="1" type="noConversion"/>
  </si>
  <si>
    <t>제2외국어</t>
    <phoneticPr fontId="1" type="noConversion"/>
  </si>
  <si>
    <t>등급</t>
    <phoneticPr fontId="1" type="noConversion"/>
  </si>
  <si>
    <t>고려대</t>
  </si>
  <si>
    <t>고려대</t>
    <phoneticPr fontId="1" type="noConversion"/>
  </si>
  <si>
    <t>서강인문</t>
    <phoneticPr fontId="1" type="noConversion"/>
  </si>
  <si>
    <t>서강상경</t>
    <phoneticPr fontId="1" type="noConversion"/>
  </si>
  <si>
    <t>제2제외</t>
    <phoneticPr fontId="1" type="noConversion"/>
  </si>
  <si>
    <t>제2포함</t>
    <phoneticPr fontId="1" type="noConversion"/>
  </si>
  <si>
    <t>한양대인문</t>
    <phoneticPr fontId="1" type="noConversion"/>
  </si>
  <si>
    <t>서강대인문</t>
    <phoneticPr fontId="1" type="noConversion"/>
  </si>
  <si>
    <t>서강대상경</t>
    <phoneticPr fontId="1" type="noConversion"/>
  </si>
  <si>
    <t>한양대상경</t>
    <phoneticPr fontId="1" type="noConversion"/>
  </si>
  <si>
    <t>변표</t>
    <phoneticPr fontId="1" type="noConversion"/>
  </si>
  <si>
    <t>중앙대공공인재</t>
    <phoneticPr fontId="1" type="noConversion"/>
  </si>
  <si>
    <t>중앙대</t>
    <phoneticPr fontId="1" type="noConversion"/>
  </si>
  <si>
    <t>서울시립대 일반</t>
    <phoneticPr fontId="1" type="noConversion"/>
  </si>
  <si>
    <t>한국외대</t>
    <phoneticPr fontId="1" type="noConversion"/>
  </si>
  <si>
    <t>한국외대</t>
    <phoneticPr fontId="1" type="noConversion"/>
  </si>
  <si>
    <t>전국석차</t>
  </si>
  <si>
    <r>
      <t>사탐백분위</t>
    </r>
    <r>
      <rPr>
        <b/>
        <sz val="9"/>
        <color rgb="FFFF4600"/>
        <rFont val="돋움"/>
        <family val="3"/>
        <charset val="129"/>
      </rPr>
      <t>*</t>
    </r>
  </si>
  <si>
    <r>
      <t>서강</t>
    </r>
    <r>
      <rPr>
        <b/>
        <sz val="8"/>
        <color rgb="FFDFB78C"/>
        <rFont val="돋움"/>
        <family val="3"/>
        <charset val="129"/>
      </rPr>
      <t>인문</t>
    </r>
  </si>
  <si>
    <r>
      <t>서강</t>
    </r>
    <r>
      <rPr>
        <b/>
        <sz val="8"/>
        <color rgb="FFDFB78C"/>
        <rFont val="돋움"/>
        <family val="3"/>
        <charset val="129"/>
      </rPr>
      <t>상경</t>
    </r>
  </si>
  <si>
    <r>
      <t>성균관</t>
    </r>
    <r>
      <rPr>
        <b/>
        <sz val="8"/>
        <color rgb="FFDFB78C"/>
        <rFont val="돋움"/>
        <family val="3"/>
        <charset val="129"/>
      </rPr>
      <t>우선</t>
    </r>
  </si>
  <si>
    <r>
      <t>성균관</t>
    </r>
    <r>
      <rPr>
        <b/>
        <sz val="8"/>
        <color rgb="FFDFB78C"/>
        <rFont val="돋움"/>
        <family val="3"/>
        <charset val="129"/>
      </rPr>
      <t>일반</t>
    </r>
  </si>
  <si>
    <t>오르비사탐</t>
    <phoneticPr fontId="1" type="noConversion"/>
  </si>
  <si>
    <t>등수</t>
    <phoneticPr fontId="1" type="noConversion"/>
  </si>
  <si>
    <r>
      <t>한양</t>
    </r>
    <r>
      <rPr>
        <b/>
        <sz val="8"/>
        <color rgb="FFDFB78C"/>
        <rFont val="돋움"/>
        <family val="3"/>
        <charset val="129"/>
      </rPr>
      <t>상경</t>
    </r>
  </si>
  <si>
    <r>
      <t>한양</t>
    </r>
    <r>
      <rPr>
        <b/>
        <sz val="8"/>
        <color rgb="FFDFB78C"/>
        <rFont val="돋움"/>
        <family val="3"/>
        <charset val="129"/>
      </rPr>
      <t>인문</t>
    </r>
  </si>
  <si>
    <t>유사점수</t>
    <phoneticPr fontId="1" type="noConversion"/>
  </si>
  <si>
    <t>Fait기준</t>
    <phoneticPr fontId="1" type="noConversion"/>
  </si>
  <si>
    <t>윗칸</t>
    <phoneticPr fontId="1" type="noConversion"/>
  </si>
  <si>
    <t>아래칸</t>
    <phoneticPr fontId="1" type="noConversion"/>
  </si>
  <si>
    <t>누적</t>
    <phoneticPr fontId="1" type="noConversion"/>
  </si>
  <si>
    <t>누적</t>
    <phoneticPr fontId="1" type="noConversion"/>
  </si>
  <si>
    <t>누적</t>
    <phoneticPr fontId="1" type="noConversion"/>
  </si>
  <si>
    <t>오차범위</t>
    <phoneticPr fontId="1" type="noConversion"/>
  </si>
  <si>
    <t>Fait 누적</t>
    <phoneticPr fontId="1" type="noConversion"/>
  </si>
  <si>
    <t>내점수</t>
    <phoneticPr fontId="1" type="noConversion"/>
  </si>
  <si>
    <t>사회탐구</t>
    <phoneticPr fontId="1" type="noConversion"/>
  </si>
  <si>
    <t>Fait 누적</t>
    <phoneticPr fontId="1" type="noConversion"/>
  </si>
  <si>
    <t>내점수</t>
    <phoneticPr fontId="1" type="noConversion"/>
  </si>
  <si>
    <t>내점수</t>
    <phoneticPr fontId="1" type="noConversion"/>
  </si>
  <si>
    <t>성대일반</t>
    <phoneticPr fontId="1" type="noConversion"/>
  </si>
  <si>
    <t>한양상경</t>
    <phoneticPr fontId="1" type="noConversion"/>
  </si>
  <si>
    <t>한양인문</t>
    <phoneticPr fontId="1" type="noConversion"/>
  </si>
  <si>
    <t>Fait 누적</t>
    <phoneticPr fontId="1" type="noConversion"/>
  </si>
  <si>
    <t>내점수</t>
    <phoneticPr fontId="1" type="noConversion"/>
  </si>
  <si>
    <t>Fait 누적</t>
    <phoneticPr fontId="1" type="noConversion"/>
  </si>
  <si>
    <t>성대우선</t>
    <phoneticPr fontId="1" type="noConversion"/>
  </si>
  <si>
    <t>사회탐구</t>
  </si>
  <si>
    <t>과목</t>
  </si>
  <si>
    <t>제2외국어</t>
  </si>
  <si>
    <t>독일어</t>
  </si>
  <si>
    <t>프랑스</t>
  </si>
  <si>
    <t>스페인</t>
  </si>
  <si>
    <t>중국어</t>
  </si>
  <si>
    <t>일본어</t>
  </si>
  <si>
    <t>러시아</t>
  </si>
  <si>
    <t>아랍어</t>
  </si>
  <si>
    <t>생윤</t>
    <phoneticPr fontId="1" type="noConversion"/>
  </si>
  <si>
    <t>윤사</t>
    <phoneticPr fontId="1" type="noConversion"/>
  </si>
  <si>
    <t>한국사</t>
    <phoneticPr fontId="1" type="noConversion"/>
  </si>
  <si>
    <t>한지</t>
    <phoneticPr fontId="1" type="noConversion"/>
  </si>
  <si>
    <t>세지</t>
    <phoneticPr fontId="1" type="noConversion"/>
  </si>
  <si>
    <t>동사</t>
    <phoneticPr fontId="1" type="noConversion"/>
  </si>
  <si>
    <t>세계사</t>
    <phoneticPr fontId="1" type="noConversion"/>
  </si>
  <si>
    <t>법정</t>
    <phoneticPr fontId="1" type="noConversion"/>
  </si>
  <si>
    <t>경제</t>
    <phoneticPr fontId="1" type="noConversion"/>
  </si>
  <si>
    <t>사문</t>
    <phoneticPr fontId="1" type="noConversion"/>
  </si>
  <si>
    <t>베트남</t>
    <phoneticPr fontId="1" type="noConversion"/>
  </si>
  <si>
    <t>한문</t>
    <phoneticPr fontId="1" type="noConversion"/>
  </si>
  <si>
    <t>최고표점</t>
    <phoneticPr fontId="1" type="noConversion"/>
  </si>
  <si>
    <t>최저표점</t>
    <phoneticPr fontId="1" type="noConversion"/>
  </si>
  <si>
    <t>본인표점</t>
    <phoneticPr fontId="1" type="noConversion"/>
  </si>
  <si>
    <t>환산</t>
    <phoneticPr fontId="1" type="noConversion"/>
  </si>
  <si>
    <t>표점</t>
    <phoneticPr fontId="1" type="noConversion"/>
  </si>
  <si>
    <t>백분위</t>
    <phoneticPr fontId="1" type="noConversion"/>
  </si>
  <si>
    <t>Update Date</t>
    <phoneticPr fontId="1" type="noConversion"/>
  </si>
  <si>
    <t>만든사람</t>
    <phoneticPr fontId="1" type="noConversion"/>
  </si>
  <si>
    <t>물량공급</t>
    <phoneticPr fontId="1" type="noConversion"/>
  </si>
  <si>
    <t>오르비스옵티무스</t>
    <phoneticPr fontId="1" type="noConversion"/>
  </si>
  <si>
    <t>계산방식</t>
    <phoneticPr fontId="1" type="noConversion"/>
  </si>
  <si>
    <t>합</t>
    <phoneticPr fontId="1" type="noConversion"/>
  </si>
  <si>
    <t>합/만점합</t>
    <phoneticPr fontId="1" type="noConversion"/>
  </si>
  <si>
    <t>합</t>
    <phoneticPr fontId="1" type="noConversion"/>
  </si>
  <si>
    <t>합</t>
    <phoneticPr fontId="1" type="noConversion"/>
  </si>
  <si>
    <t>합</t>
    <phoneticPr fontId="1" type="noConversion"/>
  </si>
  <si>
    <t xml:space="preserve">합(표점/만점) </t>
    <phoneticPr fontId="1" type="noConversion"/>
  </si>
  <si>
    <t xml:space="preserve">합(표점/만점) </t>
    <phoneticPr fontId="1" type="noConversion"/>
  </si>
  <si>
    <t xml:space="preserve">합(표점/만점) </t>
    <phoneticPr fontId="1" type="noConversion"/>
  </si>
  <si>
    <t>탐구반영</t>
    <phoneticPr fontId="1" type="noConversion"/>
  </si>
  <si>
    <t>특수변표</t>
    <phoneticPr fontId="1" type="noConversion"/>
  </si>
  <si>
    <t xml:space="preserve">오르비 모의지원에 공개된 Kaleidoscope 2014 무료 버전에 기반하여 제작된 추정치이며, 정확한 값은 오르비 모의지원 페이지를 참조하세요.' </t>
    <phoneticPr fontId="1" type="noConversion"/>
  </si>
  <si>
    <t>서울대</t>
    <phoneticPr fontId="1" type="noConversion"/>
  </si>
  <si>
    <t>연세대</t>
    <phoneticPr fontId="1" type="noConversion"/>
  </si>
  <si>
    <t>서강대인문</t>
    <phoneticPr fontId="1" type="noConversion"/>
  </si>
  <si>
    <t>서강대상경</t>
    <phoneticPr fontId="1" type="noConversion"/>
  </si>
  <si>
    <t>성균관대우선</t>
    <phoneticPr fontId="1" type="noConversion"/>
  </si>
  <si>
    <t>성균관대일반</t>
    <phoneticPr fontId="1" type="noConversion"/>
  </si>
  <si>
    <t>한양대인문</t>
    <phoneticPr fontId="1" type="noConversion"/>
  </si>
  <si>
    <t>한양대상경</t>
    <phoneticPr fontId="1" type="noConversion"/>
  </si>
  <si>
    <t>중앙대</t>
    <phoneticPr fontId="1" type="noConversion"/>
  </si>
  <si>
    <t>중앙대공공인재</t>
    <phoneticPr fontId="1" type="noConversion"/>
  </si>
  <si>
    <t>경희대</t>
    <phoneticPr fontId="1" type="noConversion"/>
  </si>
  <si>
    <t>한국외대</t>
    <phoneticPr fontId="1" type="noConversion"/>
  </si>
  <si>
    <t>시립대 일반</t>
    <phoneticPr fontId="1" type="noConversion"/>
  </si>
  <si>
    <t>이화여대</t>
    <phoneticPr fontId="1" type="noConversion"/>
  </si>
  <si>
    <t>Update내역</t>
    <phoneticPr fontId="1" type="noConversion"/>
  </si>
  <si>
    <t>orbi_supply@live.co.kr</t>
  </si>
  <si>
    <t>상세내역</t>
    <phoneticPr fontId="1" type="noConversion"/>
  </si>
  <si>
    <t>1.0.0버전 출시, UI개선, 한국외대 계산방식 추가</t>
    <phoneticPr fontId="1" type="noConversion"/>
  </si>
  <si>
    <t>최고점 점수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</si>
  <si>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</si>
  <si>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</si>
  <si>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</si>
  <si>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사탐1</t>
    <phoneticPr fontId="1" type="noConversion"/>
  </si>
  <si>
    <t>사탐2</t>
    <phoneticPr fontId="1" type="noConversion"/>
  </si>
  <si>
    <t>도움을주신분들</t>
    <phoneticPr fontId="1" type="noConversion"/>
  </si>
  <si>
    <t>엄마,아빠</t>
    <phoneticPr fontId="1" type="noConversion"/>
  </si>
  <si>
    <t>다음 이대나올여자♡ 카페지기 Romeo Van Montague (http://cafe.daum.net/ewhalady)</t>
    <phoneticPr fontId="1" type="noConversion"/>
  </si>
  <si>
    <t xml:space="preserve"> 다음 Kyunghee Holic 카페지기 프리오드 (http://cafe.daum.net/Khuholic)</t>
    <phoneticPr fontId="1" type="noConversion"/>
  </si>
  <si>
    <t>오르비 Fait, 페로즈(이유섭), 해원(난만한), 모래다리(도크고양이) 등</t>
    <phoneticPr fontId="1" type="noConversion"/>
  </si>
  <si>
    <t>1.0.0</t>
    <phoneticPr fontId="1" type="noConversion"/>
  </si>
  <si>
    <t>1.0.1</t>
    <phoneticPr fontId="1" type="noConversion"/>
  </si>
  <si>
    <t>건국대, 동국대, 홍익대 추가</t>
    <phoneticPr fontId="1" type="noConversion"/>
  </si>
  <si>
    <t>건국대</t>
    <phoneticPr fontId="1" type="noConversion"/>
  </si>
  <si>
    <t>건국대</t>
    <phoneticPr fontId="1" type="noConversion"/>
  </si>
  <si>
    <t>건국대</t>
    <phoneticPr fontId="1" type="noConversion"/>
  </si>
  <si>
    <t>건국대</t>
    <phoneticPr fontId="1" type="noConversion"/>
  </si>
  <si>
    <t>변표</t>
    <phoneticPr fontId="1" type="noConversion"/>
  </si>
  <si>
    <t>동국대</t>
    <phoneticPr fontId="1" type="noConversion"/>
  </si>
  <si>
    <t>동국대</t>
    <phoneticPr fontId="1" type="noConversion"/>
  </si>
  <si>
    <t>동국대</t>
    <phoneticPr fontId="1" type="noConversion"/>
  </si>
  <si>
    <t>건국대</t>
    <phoneticPr fontId="1" type="noConversion"/>
  </si>
  <si>
    <t>변표</t>
    <phoneticPr fontId="1" type="noConversion"/>
  </si>
  <si>
    <t>동국대</t>
    <phoneticPr fontId="1" type="noConversion"/>
  </si>
  <si>
    <t>합</t>
    <phoneticPr fontId="1" type="noConversion"/>
  </si>
  <si>
    <t>변표</t>
    <phoneticPr fontId="1" type="noConversion"/>
  </si>
  <si>
    <t>홍익대</t>
    <phoneticPr fontId="1" type="noConversion"/>
  </si>
  <si>
    <t>동국대</t>
    <phoneticPr fontId="1" type="noConversion"/>
  </si>
  <si>
    <t>홍익대</t>
    <phoneticPr fontId="1" type="noConversion"/>
  </si>
  <si>
    <t>홍익대</t>
    <phoneticPr fontId="1" type="noConversion"/>
  </si>
  <si>
    <t>표준점수</t>
    <phoneticPr fontId="1" type="noConversion"/>
  </si>
  <si>
    <t>1.1.0</t>
    <phoneticPr fontId="1" type="noConversion"/>
  </si>
  <si>
    <t>한양대 변환표준점수 추가</t>
    <phoneticPr fontId="1" type="noConversion"/>
  </si>
  <si>
    <t>13.12.03</t>
    <phoneticPr fontId="1" type="noConversion"/>
  </si>
  <si>
    <t>1.1.1</t>
    <phoneticPr fontId="1" type="noConversion"/>
  </si>
  <si>
    <t>국수영</t>
  </si>
  <si>
    <t>누적</t>
    <phoneticPr fontId="32" type="noConversion"/>
  </si>
  <si>
    <t>누적</t>
    <phoneticPr fontId="32" type="noConversion"/>
  </si>
  <si>
    <t>총점</t>
  </si>
  <si>
    <t>오르비 칼레이도스크포 12.06 버전 업데이트, 청솔 누적추가</t>
    <phoneticPr fontId="1" type="noConversion"/>
  </si>
  <si>
    <t>환산점수</t>
    <phoneticPr fontId="1" type="noConversion"/>
  </si>
  <si>
    <t>다군</t>
    <phoneticPr fontId="1" type="noConversion"/>
  </si>
  <si>
    <t>성대일반</t>
    <phoneticPr fontId="1" type="noConversion"/>
  </si>
  <si>
    <t>1.1.2</t>
    <phoneticPr fontId="1" type="noConversion"/>
  </si>
  <si>
    <t>UI 개선</t>
    <phoneticPr fontId="1" type="noConversion"/>
  </si>
  <si>
    <t>연세대</t>
    <phoneticPr fontId="1" type="noConversion"/>
  </si>
  <si>
    <t>고려대</t>
    <phoneticPr fontId="1" type="noConversion"/>
  </si>
  <si>
    <t>성대우선</t>
    <phoneticPr fontId="1" type="noConversion"/>
  </si>
  <si>
    <t>한양인문</t>
    <phoneticPr fontId="1" type="noConversion"/>
  </si>
  <si>
    <t>한양상경</t>
    <phoneticPr fontId="1" type="noConversion"/>
  </si>
  <si>
    <t>이화여대</t>
    <phoneticPr fontId="1" type="noConversion"/>
  </si>
  <si>
    <t>중앙대</t>
    <phoneticPr fontId="1" type="noConversion"/>
  </si>
  <si>
    <t>중앙대(공공)</t>
    <phoneticPr fontId="1" type="noConversion"/>
  </si>
  <si>
    <t>경희대</t>
    <phoneticPr fontId="1" type="noConversion"/>
  </si>
  <si>
    <t>한국외대</t>
    <phoneticPr fontId="1" type="noConversion"/>
  </si>
  <si>
    <t>건국대(가산)</t>
    <phoneticPr fontId="1" type="noConversion"/>
  </si>
  <si>
    <t>동국대</t>
    <phoneticPr fontId="1" type="noConversion"/>
  </si>
  <si>
    <t>홍익대</t>
    <phoneticPr fontId="1" type="noConversion"/>
  </si>
  <si>
    <t>가군</t>
    <phoneticPr fontId="1" type="noConversion"/>
  </si>
  <si>
    <t>나군</t>
    <phoneticPr fontId="1" type="noConversion"/>
  </si>
  <si>
    <t>과목명</t>
    <phoneticPr fontId="1" type="noConversion"/>
  </si>
  <si>
    <t>백분위</t>
    <phoneticPr fontId="1" type="noConversion"/>
  </si>
  <si>
    <t>등급</t>
    <phoneticPr fontId="1" type="noConversion"/>
  </si>
  <si>
    <t>13.12.10</t>
    <phoneticPr fontId="1" type="noConversion"/>
  </si>
  <si>
    <t>2.0.0</t>
    <phoneticPr fontId="1" type="noConversion"/>
  </si>
  <si>
    <t>이화여대(건강과학)</t>
    <phoneticPr fontId="1" type="noConversion"/>
  </si>
  <si>
    <t>이화여대(건강과학대학)</t>
    <phoneticPr fontId="1" type="noConversion"/>
  </si>
  <si>
    <t>이화여대(건강과학대학)</t>
    <phoneticPr fontId="1" type="noConversion"/>
  </si>
  <si>
    <t>변표</t>
    <phoneticPr fontId="1" type="noConversion"/>
  </si>
  <si>
    <t>이화여대(건강)</t>
    <phoneticPr fontId="1" type="noConversion"/>
  </si>
  <si>
    <t>영어</t>
    <phoneticPr fontId="1" type="noConversion"/>
  </si>
  <si>
    <t>국어만점</t>
    <phoneticPr fontId="1" type="noConversion"/>
  </si>
  <si>
    <t>영어만점</t>
    <phoneticPr fontId="1" type="noConversion"/>
  </si>
  <si>
    <t>국어</t>
    <phoneticPr fontId="1" type="noConversion"/>
  </si>
  <si>
    <t>생활과 윤리</t>
  </si>
  <si>
    <t>윤리와 사상</t>
  </si>
  <si>
    <t>한국사</t>
  </si>
  <si>
    <t>한국 지리</t>
  </si>
  <si>
    <t>세계 지리</t>
  </si>
  <si>
    <t>동아시아사</t>
  </si>
  <si>
    <t>세계사</t>
  </si>
  <si>
    <t>법과 정치</t>
  </si>
  <si>
    <t>경제</t>
  </si>
  <si>
    <t>사회·문화</t>
  </si>
  <si>
    <t>백분위</t>
  </si>
  <si>
    <t>표준점수</t>
  </si>
  <si>
    <t>산출점수</t>
  </si>
  <si>
    <t>32 미만</t>
  </si>
  <si>
    <t>33 미만</t>
  </si>
  <si>
    <t>30미만</t>
  </si>
  <si>
    <t>31 미만</t>
  </si>
  <si>
    <t>29 미만</t>
  </si>
  <si>
    <t>30 미만</t>
  </si>
  <si>
    <t>28 미만</t>
  </si>
  <si>
    <t>27 미만</t>
  </si>
  <si>
    <t>서울대문과</t>
    <phoneticPr fontId="1" type="noConversion"/>
  </si>
  <si>
    <t>서울대교차</t>
    <phoneticPr fontId="1" type="noConversion"/>
  </si>
  <si>
    <t>사탐변표</t>
    <phoneticPr fontId="1" type="noConversion"/>
  </si>
  <si>
    <t>사탐교차</t>
    <phoneticPr fontId="1" type="noConversion"/>
  </si>
  <si>
    <t>46 미만</t>
  </si>
  <si>
    <t>70 미만</t>
  </si>
  <si>
    <t>국어B'형</t>
    <phoneticPr fontId="1" type="noConversion"/>
  </si>
  <si>
    <t>수학A'형</t>
    <phoneticPr fontId="1" type="noConversion"/>
  </si>
  <si>
    <t>서울대(이과교차)</t>
    <phoneticPr fontId="1" type="noConversion"/>
  </si>
  <si>
    <t>서울대(이과교차)</t>
    <phoneticPr fontId="1" type="noConversion"/>
  </si>
  <si>
    <t>(수B기준)</t>
    <phoneticPr fontId="1" type="noConversion"/>
  </si>
  <si>
    <r>
      <t>B형백분위</t>
    </r>
    <r>
      <rPr>
        <b/>
        <sz val="9"/>
        <color rgb="FFFF4600"/>
        <rFont val="돋움"/>
        <family val="3"/>
        <charset val="129"/>
      </rPr>
      <t>*</t>
    </r>
  </si>
  <si>
    <t>서울대 변환표준점수, 간호대교차, 동국대,이화여대 변표적용</t>
    <phoneticPr fontId="1" type="noConversion"/>
  </si>
  <si>
    <t>연세대</t>
    <phoneticPr fontId="1" type="noConversion"/>
  </si>
  <si>
    <t>서강대</t>
    <phoneticPr fontId="1" type="noConversion"/>
  </si>
  <si>
    <t>13.12.11</t>
    <phoneticPr fontId="1" type="noConversion"/>
  </si>
  <si>
    <t>한양대</t>
    <phoneticPr fontId="1" type="noConversion"/>
  </si>
  <si>
    <t>백분위</t>
    <phoneticPr fontId="1" type="noConversion"/>
  </si>
  <si>
    <t>제2</t>
    <phoneticPr fontId="1" type="noConversion"/>
  </si>
  <si>
    <t>변환표준점수</t>
    <phoneticPr fontId="1" type="noConversion"/>
  </si>
  <si>
    <t>제2</t>
    <phoneticPr fontId="1" type="noConversion"/>
  </si>
  <si>
    <t>변환표준점수</t>
    <phoneticPr fontId="1" type="noConversion"/>
  </si>
  <si>
    <t>2.0.1</t>
    <phoneticPr fontId="1" type="noConversion"/>
  </si>
  <si>
    <t>서강대, 경희대 변환표준점수 적용</t>
    <phoneticPr fontId="1" type="noConversion"/>
  </si>
  <si>
    <t>2.1.0</t>
    <phoneticPr fontId="1" type="noConversion"/>
  </si>
  <si>
    <t>13.12.12</t>
    <phoneticPr fontId="1" type="noConversion"/>
  </si>
  <si>
    <t>13.12.12</t>
    <phoneticPr fontId="1" type="noConversion"/>
  </si>
  <si>
    <t>연세대, 고려대,건국대,시립대 변환표준점수 적용</t>
    <phoneticPr fontId="1" type="noConversion"/>
  </si>
  <si>
    <t>경제 64</t>
  </si>
  <si>
    <t>경제 63</t>
  </si>
  <si>
    <t>경제 62</t>
  </si>
  <si>
    <t>경제 61</t>
  </si>
  <si>
    <t>경제 60</t>
  </si>
  <si>
    <t>경제 59</t>
  </si>
  <si>
    <t>경제 58</t>
  </si>
  <si>
    <t>경제 57</t>
  </si>
  <si>
    <t>경제 56</t>
  </si>
  <si>
    <t>경제 55</t>
  </si>
  <si>
    <t>경제 54</t>
  </si>
  <si>
    <t>경제 53</t>
  </si>
  <si>
    <t>경제 52</t>
  </si>
  <si>
    <t>경제 51</t>
  </si>
  <si>
    <t>경제 50</t>
  </si>
  <si>
    <t>경제 49</t>
  </si>
  <si>
    <t>경제 48</t>
  </si>
  <si>
    <t>경제 47</t>
  </si>
  <si>
    <t>경제 46</t>
  </si>
  <si>
    <t>경제 45</t>
  </si>
  <si>
    <t>경제 44</t>
  </si>
  <si>
    <t>경제 43</t>
  </si>
  <si>
    <t>경제 42</t>
  </si>
  <si>
    <t>경제 41</t>
  </si>
  <si>
    <t>경제 40</t>
  </si>
  <si>
    <t>경제 39</t>
  </si>
  <si>
    <t>경제 38</t>
  </si>
  <si>
    <t>경제 37</t>
  </si>
  <si>
    <t>경제 36</t>
  </si>
  <si>
    <t>경제 35</t>
  </si>
  <si>
    <t>경제 34</t>
  </si>
  <si>
    <t>경제 33</t>
  </si>
  <si>
    <t>경제 32</t>
  </si>
  <si>
    <t>경제 31</t>
  </si>
  <si>
    <t>경제 30</t>
  </si>
  <si>
    <t>경제 29</t>
  </si>
  <si>
    <t>경제 28</t>
  </si>
  <si>
    <t>경제 26</t>
  </si>
  <si>
    <t>동사 66</t>
  </si>
  <si>
    <t>동사 64</t>
  </si>
  <si>
    <t>동사 63</t>
  </si>
  <si>
    <t>동사 62</t>
  </si>
  <si>
    <t>동사 61</t>
  </si>
  <si>
    <t>동사 60</t>
  </si>
  <si>
    <t>동사 59</t>
  </si>
  <si>
    <t>동사 58</t>
  </si>
  <si>
    <t>동사 57</t>
  </si>
  <si>
    <t>동사 56</t>
  </si>
  <si>
    <t>동사 55</t>
  </si>
  <si>
    <t>동사 54</t>
  </si>
  <si>
    <t>동사 53</t>
  </si>
  <si>
    <t>동사 52</t>
  </si>
  <si>
    <t>동사 51</t>
  </si>
  <si>
    <t>동사 50</t>
  </si>
  <si>
    <t>동사 49</t>
  </si>
  <si>
    <t>동사 48</t>
  </si>
  <si>
    <t>동사 47</t>
  </si>
  <si>
    <t>동사 46</t>
  </si>
  <si>
    <t>동사 45</t>
  </si>
  <si>
    <t>동사 44</t>
  </si>
  <si>
    <t>동사 43</t>
  </si>
  <si>
    <t>동사 42</t>
  </si>
  <si>
    <t>동사 41</t>
  </si>
  <si>
    <t>동사 40</t>
  </si>
  <si>
    <t>동사 39</t>
  </si>
  <si>
    <t>동사 38</t>
  </si>
  <si>
    <t>동사 37</t>
  </si>
  <si>
    <t>동사 36</t>
  </si>
  <si>
    <t>동사 35</t>
  </si>
  <si>
    <t>동사 34</t>
  </si>
  <si>
    <t>동사 33</t>
  </si>
  <si>
    <t>동사 32</t>
  </si>
  <si>
    <t>동사 31</t>
  </si>
  <si>
    <t>동사 30</t>
  </si>
  <si>
    <t>동사 29</t>
  </si>
  <si>
    <t>동사 28</t>
  </si>
  <si>
    <t>동사 27</t>
  </si>
  <si>
    <t>법정 67</t>
  </si>
  <si>
    <t>법정 65</t>
  </si>
  <si>
    <t>법정 64</t>
  </si>
  <si>
    <t>법정 63</t>
  </si>
  <si>
    <t>법정 62</t>
  </si>
  <si>
    <t>법정 61</t>
  </si>
  <si>
    <t>법정 60</t>
  </si>
  <si>
    <t>법정 59</t>
  </si>
  <si>
    <t>법정 58</t>
  </si>
  <si>
    <t>법정 57</t>
  </si>
  <si>
    <t>법정 56</t>
  </si>
  <si>
    <t>법정 55</t>
  </si>
  <si>
    <t>법정 54</t>
  </si>
  <si>
    <t>법정 53</t>
  </si>
  <si>
    <t>법정 52</t>
  </si>
  <si>
    <t>법정 51</t>
  </si>
  <si>
    <t>법정 50</t>
  </si>
  <si>
    <t>법정 49</t>
  </si>
  <si>
    <t>법정 48</t>
  </si>
  <si>
    <t>법정 47</t>
  </si>
  <si>
    <t>법정 46</t>
  </si>
  <si>
    <t>법정 45</t>
  </si>
  <si>
    <t>법정 44</t>
  </si>
  <si>
    <t>법정 43</t>
  </si>
  <si>
    <t>법정 42</t>
  </si>
  <si>
    <t>법정 41</t>
  </si>
  <si>
    <t>법정 40</t>
  </si>
  <si>
    <t>법정 39</t>
  </si>
  <si>
    <t>법정 38</t>
  </si>
  <si>
    <t>법정 37</t>
  </si>
  <si>
    <t>법정 36</t>
  </si>
  <si>
    <t>법정 35</t>
  </si>
  <si>
    <t>법정 34</t>
  </si>
  <si>
    <t>법정 33</t>
  </si>
  <si>
    <t>법정 32</t>
  </si>
  <si>
    <t>법정 31</t>
  </si>
  <si>
    <t>법정 30</t>
  </si>
  <si>
    <t>법정 29</t>
  </si>
  <si>
    <t>법정 28</t>
  </si>
  <si>
    <t>사문 66</t>
  </si>
  <si>
    <t>사문 65</t>
  </si>
  <si>
    <t>사문 64</t>
  </si>
  <si>
    <t>사문 63</t>
  </si>
  <si>
    <t>사문 62</t>
  </si>
  <si>
    <t>사문 61</t>
  </si>
  <si>
    <t>사문 60</t>
  </si>
  <si>
    <t>사문 59</t>
  </si>
  <si>
    <t>사문 58</t>
  </si>
  <si>
    <t>사문 57</t>
  </si>
  <si>
    <t>사문 56</t>
  </si>
  <si>
    <t>사문 55</t>
  </si>
  <si>
    <t>사문 54</t>
  </si>
  <si>
    <t>사문 53</t>
  </si>
  <si>
    <t>사문 52</t>
  </si>
  <si>
    <t>사문 51</t>
  </si>
  <si>
    <t>사문 50</t>
  </si>
  <si>
    <t>사문 49</t>
  </si>
  <si>
    <t>사문 48</t>
  </si>
  <si>
    <t>사문 47</t>
  </si>
  <si>
    <t>사문 46</t>
  </si>
  <si>
    <t>사문 45</t>
  </si>
  <si>
    <t>사문 44</t>
  </si>
  <si>
    <t>사문 43</t>
  </si>
  <si>
    <t>사문 42</t>
  </si>
  <si>
    <t>사문 41</t>
  </si>
  <si>
    <t>사문 40</t>
  </si>
  <si>
    <t>사문 39</t>
  </si>
  <si>
    <t>사문 38</t>
  </si>
  <si>
    <t>사문 37</t>
  </si>
  <si>
    <t>사문 36</t>
  </si>
  <si>
    <t>사문 35</t>
  </si>
  <si>
    <t>사문 34</t>
  </si>
  <si>
    <t>사문 33</t>
  </si>
  <si>
    <t>사문 32</t>
  </si>
  <si>
    <t>사문 31</t>
  </si>
  <si>
    <t>사문 30</t>
  </si>
  <si>
    <t>사문 29</t>
  </si>
  <si>
    <t>사문 27</t>
  </si>
  <si>
    <t>생윤 67</t>
  </si>
  <si>
    <t>생윤 65</t>
  </si>
  <si>
    <t>생윤 64</t>
  </si>
  <si>
    <t>생윤 63</t>
  </si>
  <si>
    <t>생윤 62</t>
  </si>
  <si>
    <t>생윤 61</t>
  </si>
  <si>
    <t>생윤 60</t>
  </si>
  <si>
    <t>생윤 59</t>
  </si>
  <si>
    <t>생윤 58</t>
  </si>
  <si>
    <t>생윤 57</t>
  </si>
  <si>
    <t>생윤 56</t>
  </si>
  <si>
    <t>생윤 55</t>
  </si>
  <si>
    <t>생윤 54</t>
  </si>
  <si>
    <t>생윤 53</t>
  </si>
  <si>
    <t>생윤 52</t>
  </si>
  <si>
    <t>생윤 51</t>
  </si>
  <si>
    <t>생윤 50</t>
  </si>
  <si>
    <t>생윤 49</t>
  </si>
  <si>
    <t>생윤 48</t>
  </si>
  <si>
    <t>생윤 47</t>
  </si>
  <si>
    <t>생윤 46</t>
  </si>
  <si>
    <t>생윤 45</t>
  </si>
  <si>
    <t>생윤 44</t>
  </si>
  <si>
    <t>생윤 43</t>
  </si>
  <si>
    <t>생윤 42</t>
  </si>
  <si>
    <t>생윤 41</t>
  </si>
  <si>
    <t>생윤 40</t>
  </si>
  <si>
    <t>생윤 39</t>
  </si>
  <si>
    <t>생윤 38</t>
  </si>
  <si>
    <t>생윤 37</t>
  </si>
  <si>
    <t>생윤 36</t>
  </si>
  <si>
    <t>생윤 35</t>
  </si>
  <si>
    <t>생윤 34</t>
  </si>
  <si>
    <t>생윤 33</t>
  </si>
  <si>
    <t>생윤 32</t>
  </si>
  <si>
    <t>생윤 31</t>
  </si>
  <si>
    <t>생윤 30</t>
  </si>
  <si>
    <t>생윤 29</t>
  </si>
  <si>
    <t>생윤 28</t>
  </si>
  <si>
    <t>생윤 27</t>
  </si>
  <si>
    <t>생윤 26</t>
  </si>
  <si>
    <t>생윤 25</t>
  </si>
  <si>
    <t>생윤 24</t>
  </si>
  <si>
    <t>생윤 22</t>
  </si>
  <si>
    <t>세지 66</t>
  </si>
  <si>
    <t>세지 65</t>
  </si>
  <si>
    <t>세지 64</t>
  </si>
  <si>
    <t>세지 63</t>
  </si>
  <si>
    <t>세지 62</t>
  </si>
  <si>
    <t>세지 61</t>
  </si>
  <si>
    <t>세지 60</t>
  </si>
  <si>
    <t>세지 59</t>
  </si>
  <si>
    <t>세지 58</t>
  </si>
  <si>
    <t>세지 57</t>
  </si>
  <si>
    <t>세지 56</t>
  </si>
  <si>
    <t>세지 55</t>
  </si>
  <si>
    <t>세지 54</t>
  </si>
  <si>
    <t>세지 53</t>
  </si>
  <si>
    <t>세지 52</t>
  </si>
  <si>
    <t>세지 51</t>
  </si>
  <si>
    <t>세지 50</t>
  </si>
  <si>
    <t>세지 49</t>
  </si>
  <si>
    <t>세지 48</t>
  </si>
  <si>
    <t>세지 47</t>
  </si>
  <si>
    <t>세지 46</t>
  </si>
  <si>
    <t>세지 45</t>
  </si>
  <si>
    <t>세지 44</t>
  </si>
  <si>
    <t>세지 43</t>
  </si>
  <si>
    <t>세지 42</t>
  </si>
  <si>
    <t>세지 41</t>
  </si>
  <si>
    <t>세지 40</t>
  </si>
  <si>
    <t>세지 39</t>
  </si>
  <si>
    <t>세지 38</t>
  </si>
  <si>
    <t>세지 37</t>
  </si>
  <si>
    <t>세지 36</t>
  </si>
  <si>
    <t>세지 35</t>
  </si>
  <si>
    <t>세지 34</t>
  </si>
  <si>
    <t>세지 33</t>
  </si>
  <si>
    <t>세지 32</t>
  </si>
  <si>
    <t>세지 31</t>
  </si>
  <si>
    <t>세지 30</t>
  </si>
  <si>
    <t>세지 29</t>
  </si>
  <si>
    <t>세지 28</t>
  </si>
  <si>
    <t>세지 27</t>
  </si>
  <si>
    <t>세지 26</t>
  </si>
  <si>
    <t>세지 24</t>
  </si>
  <si>
    <t>세계사 66</t>
  </si>
  <si>
    <t>세계사 64</t>
  </si>
  <si>
    <t>세계사 63</t>
  </si>
  <si>
    <t>세계사 62</t>
  </si>
  <si>
    <t>세계사 61</t>
  </si>
  <si>
    <t>세계사 60</t>
  </si>
  <si>
    <t>세계사 59</t>
  </si>
  <si>
    <t>세계사 58</t>
  </si>
  <si>
    <t>세계사 57</t>
  </si>
  <si>
    <t>세계사 56</t>
  </si>
  <si>
    <t>세계사 55</t>
  </si>
  <si>
    <t>세계사 54</t>
  </si>
  <si>
    <t>세계사 53</t>
  </si>
  <si>
    <t>세계사 52</t>
  </si>
  <si>
    <t>세계사 51</t>
  </si>
  <si>
    <t>세계사 50</t>
  </si>
  <si>
    <t>세계사 49</t>
  </si>
  <si>
    <t>세계사 48</t>
  </si>
  <si>
    <t>세계사 47</t>
  </si>
  <si>
    <t>세계사 46</t>
  </si>
  <si>
    <t>세계사 45</t>
  </si>
  <si>
    <t>세계사 44</t>
  </si>
  <si>
    <t>세계사 43</t>
  </si>
  <si>
    <t>세계사 42</t>
  </si>
  <si>
    <t>세계사 41</t>
  </si>
  <si>
    <t>세계사 40</t>
  </si>
  <si>
    <t>세계사 39</t>
  </si>
  <si>
    <t>세계사 38</t>
  </si>
  <si>
    <t>세계사 37</t>
  </si>
  <si>
    <t>세계사 36</t>
  </si>
  <si>
    <t>세계사 35</t>
  </si>
  <si>
    <t>세계사 34</t>
  </si>
  <si>
    <t>세계사 33</t>
  </si>
  <si>
    <t>세계사 32</t>
  </si>
  <si>
    <t>세계사 30</t>
  </si>
  <si>
    <t>윤사 69</t>
  </si>
  <si>
    <t>윤사 67</t>
  </si>
  <si>
    <t>윤사 66</t>
  </si>
  <si>
    <t>윤사 65</t>
  </si>
  <si>
    <t>윤사 64</t>
  </si>
  <si>
    <t>윤사 63</t>
  </si>
  <si>
    <t>윤사 62</t>
  </si>
  <si>
    <t>윤사 61</t>
  </si>
  <si>
    <t>윤사 60</t>
  </si>
  <si>
    <t>윤사 59</t>
  </si>
  <si>
    <t>윤사 58</t>
  </si>
  <si>
    <t>윤사 57</t>
  </si>
  <si>
    <t>윤사 56</t>
  </si>
  <si>
    <t>윤사 55</t>
  </si>
  <si>
    <t>윤사 54</t>
  </si>
  <si>
    <t>윤사 53</t>
  </si>
  <si>
    <t>윤사 52</t>
  </si>
  <si>
    <t>윤사 51</t>
  </si>
  <si>
    <t>윤사 50</t>
  </si>
  <si>
    <t>윤사 49</t>
  </si>
  <si>
    <t>윤사 48</t>
  </si>
  <si>
    <t>윤사 47</t>
  </si>
  <si>
    <t>윤사 46</t>
  </si>
  <si>
    <t>윤사 45</t>
  </si>
  <si>
    <t>윤사 44</t>
  </si>
  <si>
    <t>윤사 43</t>
  </si>
  <si>
    <t>윤사 42</t>
  </si>
  <si>
    <t>윤사 41</t>
  </si>
  <si>
    <t>윤사 40</t>
  </si>
  <si>
    <t>윤사 39</t>
  </si>
  <si>
    <t>윤사 38</t>
  </si>
  <si>
    <t>윤사 37</t>
  </si>
  <si>
    <t>윤사 36</t>
  </si>
  <si>
    <t>윤사 35</t>
  </si>
  <si>
    <t>윤사 34</t>
  </si>
  <si>
    <t>윤사 33</t>
  </si>
  <si>
    <t>윤사 32</t>
  </si>
  <si>
    <t>윤사 31</t>
  </si>
  <si>
    <t>윤사 30</t>
  </si>
  <si>
    <t>윤사 29</t>
  </si>
  <si>
    <t>윤사 28</t>
  </si>
  <si>
    <t>윤사 26</t>
  </si>
  <si>
    <t>한지 69</t>
  </si>
  <si>
    <t>한지 67</t>
  </si>
  <si>
    <t>한지 66</t>
  </si>
  <si>
    <t>한지 65</t>
  </si>
  <si>
    <t>한지 64</t>
  </si>
  <si>
    <t>한지 63</t>
  </si>
  <si>
    <t>한지 62</t>
  </si>
  <si>
    <t>한지 61</t>
  </si>
  <si>
    <t>한지 60</t>
  </si>
  <si>
    <t>한지 59</t>
  </si>
  <si>
    <t>한지 58</t>
  </si>
  <si>
    <t>한지 57</t>
  </si>
  <si>
    <t>한지 56</t>
  </si>
  <si>
    <t>한지 55</t>
  </si>
  <si>
    <t>한지 54</t>
  </si>
  <si>
    <t>한지 53</t>
  </si>
  <si>
    <t>한지 52</t>
  </si>
  <si>
    <t>한지 51</t>
  </si>
  <si>
    <t>한지 50</t>
  </si>
  <si>
    <t>한지 49</t>
  </si>
  <si>
    <t>한지 48</t>
  </si>
  <si>
    <t>한지 47</t>
  </si>
  <si>
    <t>한지 46</t>
  </si>
  <si>
    <t>한지 45</t>
  </si>
  <si>
    <t>한지 44</t>
  </si>
  <si>
    <t>한지 43</t>
  </si>
  <si>
    <t>한지 42</t>
  </si>
  <si>
    <t>한지 41</t>
  </si>
  <si>
    <t>한지 40</t>
  </si>
  <si>
    <t>한지 39</t>
  </si>
  <si>
    <t>한지 38</t>
  </si>
  <si>
    <t>한지 37</t>
  </si>
  <si>
    <t>한지 36</t>
  </si>
  <si>
    <t>한지 35</t>
  </si>
  <si>
    <t>한지 34</t>
  </si>
  <si>
    <t>한지 33</t>
  </si>
  <si>
    <t>한지 32</t>
  </si>
  <si>
    <t>한지 31</t>
  </si>
  <si>
    <t>한지 30</t>
  </si>
  <si>
    <t>한지 29</t>
  </si>
  <si>
    <t>한지 28</t>
  </si>
  <si>
    <t>한지 27</t>
  </si>
  <si>
    <t>한지 26</t>
  </si>
  <si>
    <t>한지 24</t>
  </si>
  <si>
    <t>베트남 89</t>
  </si>
  <si>
    <t>베트남 88</t>
  </si>
  <si>
    <t>베트남 87</t>
  </si>
  <si>
    <t>베트남 86</t>
  </si>
  <si>
    <t>베트남 85</t>
  </si>
  <si>
    <t>베트남 83</t>
  </si>
  <si>
    <t>베트남 82</t>
  </si>
  <si>
    <t>베트남 81</t>
  </si>
  <si>
    <t>베트남 80</t>
  </si>
  <si>
    <t>베트남 79</t>
  </si>
  <si>
    <t>베트남 78</t>
  </si>
  <si>
    <t>베트남 77</t>
  </si>
  <si>
    <t>베트남 76</t>
  </si>
  <si>
    <t>베트남 75</t>
  </si>
  <si>
    <t>베트남 74</t>
  </si>
  <si>
    <t>베트남 73</t>
  </si>
  <si>
    <t>베트남 72</t>
  </si>
  <si>
    <t>베트남 70</t>
  </si>
  <si>
    <t>베트남 69</t>
  </si>
  <si>
    <t>베트남 68</t>
  </si>
  <si>
    <t>베트남 67</t>
  </si>
  <si>
    <t>베트남 66</t>
  </si>
  <si>
    <t>베트남 65</t>
  </si>
  <si>
    <t>베트남 64</t>
  </si>
  <si>
    <t>베트남 63</t>
  </si>
  <si>
    <t>베트남 62</t>
  </si>
  <si>
    <t>베트남 61</t>
  </si>
  <si>
    <t>베트남 60</t>
  </si>
  <si>
    <t>베트남 58</t>
  </si>
  <si>
    <t>베트남 57</t>
  </si>
  <si>
    <t>베트남 56</t>
  </si>
  <si>
    <t>베트남 55</t>
  </si>
  <si>
    <t>베트남 54</t>
  </si>
  <si>
    <t>베트남 53</t>
  </si>
  <si>
    <t>베트남 52</t>
  </si>
  <si>
    <t>베트남 51</t>
  </si>
  <si>
    <t>베트남 50</t>
  </si>
  <si>
    <t>베트남 49</t>
  </si>
  <si>
    <t>베트남 48</t>
  </si>
  <si>
    <t>베트남 47</t>
  </si>
  <si>
    <t>베트남 45</t>
  </si>
  <si>
    <t>베트남 44</t>
  </si>
  <si>
    <t>베트남 43</t>
  </si>
  <si>
    <t>베트남 42</t>
  </si>
  <si>
    <t>베트남 41</t>
  </si>
  <si>
    <t>베트남 40</t>
  </si>
  <si>
    <t>베트남 39</t>
  </si>
  <si>
    <t>베트남 38</t>
  </si>
  <si>
    <t>베트남 37</t>
  </si>
  <si>
    <t>베트남 36</t>
  </si>
  <si>
    <t>베트남 35</t>
  </si>
  <si>
    <t>독일어 65</t>
  </si>
  <si>
    <t>독일어 64</t>
  </si>
  <si>
    <t>독일어 63</t>
  </si>
  <si>
    <t>독일어 62</t>
  </si>
  <si>
    <t>독일어 61</t>
  </si>
  <si>
    <t>독일어 60</t>
  </si>
  <si>
    <t>독일어 59</t>
  </si>
  <si>
    <t>독일어 58</t>
  </si>
  <si>
    <t>독일어 57</t>
  </si>
  <si>
    <t>독일어 56</t>
  </si>
  <si>
    <t>독일어 55</t>
  </si>
  <si>
    <t>독일어 54</t>
  </si>
  <si>
    <t>독일어 53</t>
  </si>
  <si>
    <t>독일어 52</t>
  </si>
  <si>
    <t>독일어 51</t>
  </si>
  <si>
    <t>독일어 50</t>
  </si>
  <si>
    <t>독일어 49</t>
  </si>
  <si>
    <t>독일어 48</t>
  </si>
  <si>
    <t>독일어 47</t>
  </si>
  <si>
    <t>독일어 46</t>
  </si>
  <si>
    <t>독일어 45</t>
  </si>
  <si>
    <t>독일어 44</t>
  </si>
  <si>
    <t>독일어 43</t>
  </si>
  <si>
    <t>독일어 42</t>
  </si>
  <si>
    <t>독일어 41</t>
  </si>
  <si>
    <t>독일어 40</t>
  </si>
  <si>
    <t>독일어 39</t>
  </si>
  <si>
    <t>독일어 38</t>
  </si>
  <si>
    <t>독일어 37</t>
  </si>
  <si>
    <t>독일어 36</t>
  </si>
  <si>
    <t>독일어 35</t>
  </si>
  <si>
    <t>독일어 34</t>
  </si>
  <si>
    <t>독일어 33</t>
  </si>
  <si>
    <t>독일어 32</t>
  </si>
  <si>
    <t>독일어 30</t>
  </si>
  <si>
    <t>독일어 29</t>
  </si>
  <si>
    <t>러시아 77</t>
  </si>
  <si>
    <t>러시아 76</t>
  </si>
  <si>
    <t>러시아 75</t>
  </si>
  <si>
    <t>러시아 74</t>
  </si>
  <si>
    <t>러시아 73</t>
  </si>
  <si>
    <t>러시아 72</t>
  </si>
  <si>
    <t>러시아 71</t>
  </si>
  <si>
    <t>러시아 70</t>
  </si>
  <si>
    <t>러시아 69</t>
  </si>
  <si>
    <t>러시아 68</t>
  </si>
  <si>
    <t>러시아 67</t>
  </si>
  <si>
    <t>러시아 66</t>
  </si>
  <si>
    <t>러시아 65</t>
  </si>
  <si>
    <t>러시아 64</t>
  </si>
  <si>
    <t>러시아 63</t>
  </si>
  <si>
    <t>러시아 62</t>
  </si>
  <si>
    <t>러시아 61</t>
  </si>
  <si>
    <t>러시아 60</t>
  </si>
  <si>
    <t>러시아 59</t>
  </si>
  <si>
    <t>러시아 58</t>
  </si>
  <si>
    <t>러시아 57</t>
  </si>
  <si>
    <t>러시아 56</t>
  </si>
  <si>
    <t>러시아 55</t>
  </si>
  <si>
    <t>러시아 54</t>
  </si>
  <si>
    <t>러시아 53</t>
  </si>
  <si>
    <t>러시아 52</t>
  </si>
  <si>
    <t>러시아 51</t>
  </si>
  <si>
    <t>러시아 50</t>
  </si>
  <si>
    <t>러시아 49</t>
  </si>
  <si>
    <t>러시아 48</t>
  </si>
  <si>
    <t>러시아 47</t>
  </si>
  <si>
    <t>러시아 46</t>
  </si>
  <si>
    <t>러시아 45</t>
  </si>
  <si>
    <t>러시아 44</t>
  </si>
  <si>
    <t>러시아 43</t>
  </si>
  <si>
    <t>러시아 42</t>
  </si>
  <si>
    <t>러시아 41</t>
  </si>
  <si>
    <t>러시아 40</t>
  </si>
  <si>
    <t>러시아 39</t>
  </si>
  <si>
    <t>러시아 38</t>
  </si>
  <si>
    <t>러시아 37</t>
  </si>
  <si>
    <t>스페인 66</t>
  </si>
  <si>
    <t>스페인 65</t>
  </si>
  <si>
    <t>스페인 64</t>
  </si>
  <si>
    <t>스페인 63</t>
  </si>
  <si>
    <t>스페인 62</t>
  </si>
  <si>
    <t>스페인 61</t>
  </si>
  <si>
    <t>스페인 60</t>
  </si>
  <si>
    <t>스페인 59</t>
  </si>
  <si>
    <t>스페인 58</t>
  </si>
  <si>
    <t>스페인 57</t>
  </si>
  <si>
    <t>스페인 56</t>
  </si>
  <si>
    <t>스페인 55</t>
  </si>
  <si>
    <t>스페인 54</t>
  </si>
  <si>
    <t>스페인 53</t>
  </si>
  <si>
    <t>스페인 52</t>
  </si>
  <si>
    <t>스페인 51</t>
  </si>
  <si>
    <t>스페인 50</t>
  </si>
  <si>
    <t>스페인 49</t>
  </si>
  <si>
    <t>스페인 48</t>
  </si>
  <si>
    <t>스페인 47</t>
  </si>
  <si>
    <t>스페인 46</t>
  </si>
  <si>
    <t>스페인 45</t>
  </si>
  <si>
    <t>스페인 44</t>
  </si>
  <si>
    <t>스페인 43</t>
  </si>
  <si>
    <t>스페인 42</t>
  </si>
  <si>
    <t>스페인 41</t>
  </si>
  <si>
    <t>스페인 40</t>
  </si>
  <si>
    <t>스페인 39</t>
  </si>
  <si>
    <t>스페인 38</t>
  </si>
  <si>
    <t>스페인 37</t>
  </si>
  <si>
    <t>스페인 36</t>
  </si>
  <si>
    <t>스페인 35</t>
  </si>
  <si>
    <t>스페인 34</t>
  </si>
  <si>
    <t>스페인 33</t>
  </si>
  <si>
    <t>스페인 32</t>
  </si>
  <si>
    <t>스페인 31</t>
  </si>
  <si>
    <t>스페인 30</t>
  </si>
  <si>
    <t>스페인 29</t>
  </si>
  <si>
    <t>아랍어 87</t>
  </si>
  <si>
    <t>아랍어 86</t>
  </si>
  <si>
    <t>아랍어 85</t>
  </si>
  <si>
    <t>아랍어 84</t>
  </si>
  <si>
    <t>아랍어 83</t>
  </si>
  <si>
    <t>아랍어 82</t>
  </si>
  <si>
    <t>아랍어 81</t>
  </si>
  <si>
    <t>아랍어 80</t>
  </si>
  <si>
    <t>아랍어 79</t>
  </si>
  <si>
    <t>아랍어 78</t>
  </si>
  <si>
    <t>아랍어 77</t>
  </si>
  <si>
    <t>아랍어 76</t>
  </si>
  <si>
    <t>아랍어 75</t>
  </si>
  <si>
    <t>아랍어 74</t>
  </si>
  <si>
    <t>아랍어 73</t>
  </si>
  <si>
    <t>아랍어 72</t>
  </si>
  <si>
    <t>아랍어 71</t>
  </si>
  <si>
    <t>아랍어 70</t>
  </si>
  <si>
    <t>아랍어 69</t>
  </si>
  <si>
    <t>아랍어 68</t>
  </si>
  <si>
    <t>아랍어 67</t>
  </si>
  <si>
    <t>아랍어 65</t>
  </si>
  <si>
    <t>아랍어 64</t>
  </si>
  <si>
    <t>아랍어 63</t>
  </si>
  <si>
    <t>아랍어 62</t>
  </si>
  <si>
    <t>아랍어 61</t>
  </si>
  <si>
    <t>아랍어 60</t>
  </si>
  <si>
    <t>아랍어 59</t>
  </si>
  <si>
    <t>아랍어 58</t>
  </si>
  <si>
    <t>아랍어 57</t>
  </si>
  <si>
    <t>아랍어 56</t>
  </si>
  <si>
    <t>아랍어 55</t>
  </si>
  <si>
    <t>아랍어 54</t>
  </si>
  <si>
    <t>아랍어 53</t>
  </si>
  <si>
    <t>아랍어 52</t>
  </si>
  <si>
    <t>아랍어 51</t>
  </si>
  <si>
    <t>아랍어 50</t>
  </si>
  <si>
    <t>아랍어 49</t>
  </si>
  <si>
    <t>아랍어 48</t>
  </si>
  <si>
    <t>아랍어 47</t>
  </si>
  <si>
    <t>아랍어 46</t>
  </si>
  <si>
    <t>아랍어 45</t>
  </si>
  <si>
    <t>아랍어 44</t>
  </si>
  <si>
    <t>아랍어 43</t>
  </si>
  <si>
    <t>아랍어 42</t>
  </si>
  <si>
    <t>아랍어 41</t>
  </si>
  <si>
    <t>아랍어 40</t>
  </si>
  <si>
    <t>아랍어 39</t>
  </si>
  <si>
    <t>아랍어 38</t>
  </si>
  <si>
    <t>아랍어 36</t>
  </si>
  <si>
    <t>아랍어 35</t>
  </si>
  <si>
    <t>일본어 66</t>
  </si>
  <si>
    <t>일본어 65</t>
  </si>
  <si>
    <t>일본어 64</t>
  </si>
  <si>
    <t>일본어 63</t>
  </si>
  <si>
    <t>일본어 62</t>
  </si>
  <si>
    <t>일본어 61</t>
  </si>
  <si>
    <t>일본어 60</t>
  </si>
  <si>
    <t>일본어 59</t>
  </si>
  <si>
    <t>일본어 58</t>
  </si>
  <si>
    <t>일본어 57</t>
  </si>
  <si>
    <t>일본어 56</t>
  </si>
  <si>
    <t>일본어 55</t>
  </si>
  <si>
    <t>일본어 54</t>
  </si>
  <si>
    <t>일본어 53</t>
  </si>
  <si>
    <t>일본어 52</t>
  </si>
  <si>
    <t>일본어 51</t>
  </si>
  <si>
    <t>일본어 50</t>
  </si>
  <si>
    <t>일본어 49</t>
  </si>
  <si>
    <t>일본어 48</t>
  </si>
  <si>
    <t>일본어 47</t>
  </si>
  <si>
    <t>일본어 46</t>
  </si>
  <si>
    <t>일본어 45</t>
  </si>
  <si>
    <t>일본어 44</t>
  </si>
  <si>
    <t>일본어 43</t>
  </si>
  <si>
    <t>일본어 42</t>
  </si>
  <si>
    <t>일본어 41</t>
  </si>
  <si>
    <t>일본어 40</t>
  </si>
  <si>
    <t>일본어 39</t>
  </si>
  <si>
    <t>일본어 38</t>
  </si>
  <si>
    <t>일본어 37</t>
  </si>
  <si>
    <t>일본어 36</t>
  </si>
  <si>
    <t>일본어 35</t>
  </si>
  <si>
    <t>일본어 34</t>
  </si>
  <si>
    <t>일본어 33</t>
  </si>
  <si>
    <t>일본어 32</t>
  </si>
  <si>
    <t>일본어 31</t>
  </si>
  <si>
    <t>일본어 30</t>
  </si>
  <si>
    <t>일본어 29</t>
  </si>
  <si>
    <t>일본어 28</t>
  </si>
  <si>
    <t>일본어 27</t>
  </si>
  <si>
    <t>중국어 71</t>
  </si>
  <si>
    <t>중국어 70</t>
  </si>
  <si>
    <t>중국어 69</t>
  </si>
  <si>
    <t>중국어 68</t>
  </si>
  <si>
    <t>중국어 67</t>
  </si>
  <si>
    <t>중국어 66</t>
  </si>
  <si>
    <t>중국어 65</t>
  </si>
  <si>
    <t>중국어 64</t>
  </si>
  <si>
    <t>중국어 63</t>
  </si>
  <si>
    <t>중국어 62</t>
  </si>
  <si>
    <t>중국어 61</t>
  </si>
  <si>
    <t>중국어 60</t>
  </si>
  <si>
    <t>중국어 59</t>
  </si>
  <si>
    <t>중국어 58</t>
  </si>
  <si>
    <t>중국어 57</t>
  </si>
  <si>
    <t>중국어 56</t>
  </si>
  <si>
    <t>중국어 55</t>
  </si>
  <si>
    <t>중국어 54</t>
  </si>
  <si>
    <t>중국어 53</t>
  </si>
  <si>
    <t>중국어 52</t>
  </si>
  <si>
    <t>중국어 51</t>
  </si>
  <si>
    <t>중국어 50</t>
  </si>
  <si>
    <t>중국어 49</t>
  </si>
  <si>
    <t>중국어 48</t>
  </si>
  <si>
    <t>중국어 47</t>
  </si>
  <si>
    <t>중국어 46</t>
  </si>
  <si>
    <t>중국어 45</t>
  </si>
  <si>
    <t>중국어 44</t>
  </si>
  <si>
    <t>중국어 43</t>
  </si>
  <si>
    <t>중국어 42</t>
  </si>
  <si>
    <t>중국어 41</t>
  </si>
  <si>
    <t>중국어 40</t>
  </si>
  <si>
    <t>중국어 39</t>
  </si>
  <si>
    <t>중국어 38</t>
  </si>
  <si>
    <t>중국어 37</t>
  </si>
  <si>
    <t>중국어 36</t>
  </si>
  <si>
    <t>중국어 35</t>
  </si>
  <si>
    <t>중국어 34</t>
  </si>
  <si>
    <t>중국어 33</t>
  </si>
  <si>
    <t>중국어 32</t>
  </si>
  <si>
    <t>중국어 31</t>
  </si>
  <si>
    <t>중국어 30</t>
  </si>
  <si>
    <t>중국어 29</t>
  </si>
  <si>
    <t>프랑스 68</t>
  </si>
  <si>
    <t>프랑스 67</t>
  </si>
  <si>
    <t>프랑스 66</t>
  </si>
  <si>
    <t>프랑스 65</t>
  </si>
  <si>
    <t>프랑스 64</t>
  </si>
  <si>
    <t>프랑스 63</t>
  </si>
  <si>
    <t>프랑스 62</t>
  </si>
  <si>
    <t>프랑스 61</t>
  </si>
  <si>
    <t>프랑스 60</t>
  </si>
  <si>
    <t>프랑스 59</t>
  </si>
  <si>
    <t>프랑스 58</t>
  </si>
  <si>
    <t>프랑스 57</t>
  </si>
  <si>
    <t>프랑스 56</t>
  </si>
  <si>
    <t>프랑스 55</t>
  </si>
  <si>
    <t>프랑스 54</t>
  </si>
  <si>
    <t>프랑스 53</t>
  </si>
  <si>
    <t>프랑스 52</t>
  </si>
  <si>
    <t>프랑스 51</t>
  </si>
  <si>
    <t>프랑스 50</t>
  </si>
  <si>
    <t>프랑스 49</t>
  </si>
  <si>
    <t>프랑스 48</t>
  </si>
  <si>
    <t>프랑스 47</t>
  </si>
  <si>
    <t>프랑스 46</t>
  </si>
  <si>
    <t>프랑스 45</t>
  </si>
  <si>
    <t>프랑스 44</t>
  </si>
  <si>
    <t>프랑스 43</t>
  </si>
  <si>
    <t>프랑스 42</t>
  </si>
  <si>
    <t>프랑스 41</t>
  </si>
  <si>
    <t>프랑스 40</t>
  </si>
  <si>
    <t>프랑스 39</t>
  </si>
  <si>
    <t>프랑스 38</t>
  </si>
  <si>
    <t>프랑스 37</t>
  </si>
  <si>
    <t>프랑스 36</t>
  </si>
  <si>
    <t>프랑스 35</t>
  </si>
  <si>
    <t>프랑스 34</t>
  </si>
  <si>
    <t>프랑스 33</t>
  </si>
  <si>
    <t>프랑스 32</t>
  </si>
  <si>
    <t>프랑스 31</t>
  </si>
  <si>
    <t>프랑스 30</t>
  </si>
  <si>
    <t>프랑스 28</t>
  </si>
  <si>
    <t>프랑스 27</t>
  </si>
  <si>
    <t>한문 71</t>
  </si>
  <si>
    <t>한문 70</t>
  </si>
  <si>
    <t>한문 69</t>
  </si>
  <si>
    <t>한문 68</t>
  </si>
  <si>
    <t>한문 67</t>
  </si>
  <si>
    <t>한문 66</t>
  </si>
  <si>
    <t>한문 65</t>
  </si>
  <si>
    <t>한문 64</t>
  </si>
  <si>
    <t>한문 63</t>
  </si>
  <si>
    <t>한문 62</t>
  </si>
  <si>
    <t>한문 61</t>
  </si>
  <si>
    <t>한문 60</t>
  </si>
  <si>
    <t>한문 59</t>
  </si>
  <si>
    <t>한문 58</t>
  </si>
  <si>
    <t>한문 57</t>
  </si>
  <si>
    <t>한문 56</t>
  </si>
  <si>
    <t>한문 55</t>
  </si>
  <si>
    <t>한문 54</t>
  </si>
  <si>
    <t>한문 53</t>
  </si>
  <si>
    <t>한문 52</t>
  </si>
  <si>
    <t>한문 51</t>
  </si>
  <si>
    <t>한문 50</t>
  </si>
  <si>
    <t>한문 49</t>
  </si>
  <si>
    <t>한문 48</t>
  </si>
  <si>
    <t>한문 47</t>
  </si>
  <si>
    <t>한문 46</t>
  </si>
  <si>
    <t>한문 45</t>
  </si>
  <si>
    <t>한문 44</t>
  </si>
  <si>
    <t>한문 43</t>
  </si>
  <si>
    <t>한문 42</t>
  </si>
  <si>
    <t>한문 41</t>
  </si>
  <si>
    <t>한문 40</t>
  </si>
  <si>
    <t>한문 39</t>
  </si>
  <si>
    <t>한문 38</t>
  </si>
  <si>
    <t>한문 37</t>
  </si>
  <si>
    <t>한문 36</t>
  </si>
  <si>
    <t>한문 35</t>
  </si>
  <si>
    <t>한문 34</t>
  </si>
  <si>
    <t>한문 33</t>
  </si>
  <si>
    <t>한문 32</t>
  </si>
  <si>
    <t>한문 31</t>
  </si>
  <si>
    <t>한국사 64</t>
  </si>
  <si>
    <t>한국사 63</t>
  </si>
  <si>
    <t>한국사 62</t>
  </si>
  <si>
    <t>한국사 61</t>
  </si>
  <si>
    <t>한국사 60</t>
  </si>
  <si>
    <t>한국사 59</t>
  </si>
  <si>
    <t>한국사 58</t>
  </si>
  <si>
    <t>한국사 57</t>
  </si>
  <si>
    <t>한국사 56</t>
  </si>
  <si>
    <t>한국사 55</t>
  </si>
  <si>
    <t>한국사 54</t>
  </si>
  <si>
    <t>한국사 53</t>
  </si>
  <si>
    <t>한국사 52</t>
  </si>
  <si>
    <t>한국사 51</t>
  </si>
  <si>
    <t>한국사 50</t>
  </si>
  <si>
    <t>한국사 49</t>
  </si>
  <si>
    <t>한국사 48</t>
  </si>
  <si>
    <t>한국사 47</t>
  </si>
  <si>
    <t>한국사 46</t>
  </si>
  <si>
    <t>한국사 45</t>
  </si>
  <si>
    <t>한국사 44</t>
  </si>
  <si>
    <t>한국사 43</t>
  </si>
  <si>
    <t>한국사 42</t>
  </si>
  <si>
    <t>한국사 41</t>
  </si>
  <si>
    <t>한국사 40</t>
  </si>
  <si>
    <t>한국사 39</t>
  </si>
  <si>
    <t>한국사 38</t>
  </si>
  <si>
    <t>한국사 37</t>
  </si>
  <si>
    <t>한국사 36</t>
  </si>
  <si>
    <t>한국사 35</t>
  </si>
  <si>
    <t>한국사 34</t>
  </si>
  <si>
    <t>한국사 33</t>
  </si>
  <si>
    <t>한국사 32</t>
  </si>
  <si>
    <t>한국사 31</t>
  </si>
  <si>
    <t>한국사 29</t>
  </si>
  <si>
    <t>국어A 132</t>
  </si>
  <si>
    <t>국어A</t>
  </si>
  <si>
    <t>국어A 130</t>
  </si>
  <si>
    <t>국어A 129</t>
  </si>
  <si>
    <t>국어A 128</t>
  </si>
  <si>
    <t>국어A 127</t>
  </si>
  <si>
    <t>국어A 126</t>
  </si>
  <si>
    <t>국어A 125</t>
  </si>
  <si>
    <t>국어A 124</t>
  </si>
  <si>
    <t>국어A 123</t>
  </si>
  <si>
    <t>국어A 122</t>
  </si>
  <si>
    <t>국어A 121</t>
  </si>
  <si>
    <t>국어A 120</t>
  </si>
  <si>
    <t>국어A 119</t>
  </si>
  <si>
    <t>국어A 118</t>
  </si>
  <si>
    <t>국어A 117</t>
  </si>
  <si>
    <t>국어A 116</t>
  </si>
  <si>
    <t>국어A 115</t>
  </si>
  <si>
    <t>국어A 114</t>
  </si>
  <si>
    <t>국어A 113</t>
  </si>
  <si>
    <t>국어A 112</t>
  </si>
  <si>
    <t>국어A 111</t>
  </si>
  <si>
    <t>국어A 110</t>
  </si>
  <si>
    <t>국어A 109</t>
  </si>
  <si>
    <t>국어A 108</t>
  </si>
  <si>
    <t>국어A 107</t>
  </si>
  <si>
    <t>국어A 106</t>
  </si>
  <si>
    <t>국어A 105</t>
  </si>
  <si>
    <t>국어A 104</t>
  </si>
  <si>
    <t>국어A 103</t>
  </si>
  <si>
    <t>국어A 102</t>
  </si>
  <si>
    <t>국어A 101</t>
  </si>
  <si>
    <t>국어A 100</t>
  </si>
  <si>
    <t>국어A 99</t>
  </si>
  <si>
    <t>국어A 98</t>
  </si>
  <si>
    <t>국어A 97</t>
  </si>
  <si>
    <t>국어A 96</t>
  </si>
  <si>
    <t>국어A 95</t>
  </si>
  <si>
    <t>국어A 94</t>
  </si>
  <si>
    <t>국어A 93</t>
  </si>
  <si>
    <t>국어A 92</t>
  </si>
  <si>
    <t>국어A 91</t>
  </si>
  <si>
    <t>국어A 90</t>
  </si>
  <si>
    <t>국어A 89</t>
  </si>
  <si>
    <t>국어A 88</t>
  </si>
  <si>
    <t>국어A 87</t>
  </si>
  <si>
    <t>국어A 86</t>
  </si>
  <si>
    <t>국어A 85</t>
  </si>
  <si>
    <t>국어A 84</t>
  </si>
  <si>
    <t>국어A 83</t>
  </si>
  <si>
    <t>국어A 82</t>
  </si>
  <si>
    <t>국어A 81</t>
  </si>
  <si>
    <t>국어A 80</t>
  </si>
  <si>
    <t>국어A 79</t>
  </si>
  <si>
    <t>국어A 78</t>
  </si>
  <si>
    <t>국어A 77</t>
  </si>
  <si>
    <t>국어A 76</t>
  </si>
  <si>
    <t>국어A 75</t>
  </si>
  <si>
    <t>국어A 74</t>
  </si>
  <si>
    <t>국어A 73</t>
  </si>
  <si>
    <t>국어A 72</t>
  </si>
  <si>
    <t>국어A 71</t>
  </si>
  <si>
    <t>국어A 70</t>
  </si>
  <si>
    <t>국어A 69</t>
  </si>
  <si>
    <t>국어A 68</t>
  </si>
  <si>
    <t>국어A 67</t>
  </si>
  <si>
    <t>국어A 66</t>
  </si>
  <si>
    <t>국어A 65</t>
  </si>
  <si>
    <t>국어A 64</t>
  </si>
  <si>
    <t>국어A 63</t>
  </si>
  <si>
    <t>국어A 62</t>
  </si>
  <si>
    <t>국어A 61</t>
  </si>
  <si>
    <t>국어A 60</t>
  </si>
  <si>
    <t>국어A 59</t>
  </si>
  <si>
    <t>국어A 58</t>
  </si>
  <si>
    <t>국어A 57</t>
  </si>
  <si>
    <t>국어A 56</t>
  </si>
  <si>
    <t>국어A 55</t>
  </si>
  <si>
    <t>국어A 54</t>
  </si>
  <si>
    <t>국어A 53</t>
  </si>
  <si>
    <t>국어A 52</t>
  </si>
  <si>
    <t>국어A 51</t>
  </si>
  <si>
    <t>국어A 50</t>
  </si>
  <si>
    <t>국어A 49</t>
  </si>
  <si>
    <t>국어A 48</t>
  </si>
  <si>
    <t>국어A 47</t>
  </si>
  <si>
    <t>국어A 46</t>
  </si>
  <si>
    <t>국어A 45</t>
  </si>
  <si>
    <t>국어A 44</t>
  </si>
  <si>
    <t>국어A 43</t>
  </si>
  <si>
    <t>국어A 42</t>
  </si>
  <si>
    <t>국어A 41</t>
  </si>
  <si>
    <t>국어A 40</t>
  </si>
  <si>
    <t>국어A 39</t>
  </si>
  <si>
    <t>국어A 38</t>
  </si>
  <si>
    <t>국어A 37</t>
  </si>
  <si>
    <t>국어A 36</t>
  </si>
  <si>
    <t>국어A 35</t>
  </si>
  <si>
    <t>국어A 33</t>
  </si>
  <si>
    <t>국어B 131</t>
  </si>
  <si>
    <t>국어B</t>
  </si>
  <si>
    <t>국어B 129</t>
  </si>
  <si>
    <t>국어B 128</t>
  </si>
  <si>
    <t>국어B 127</t>
  </si>
  <si>
    <t>국어B 126</t>
  </si>
  <si>
    <t>국어B 124</t>
  </si>
  <si>
    <t>국어B 123</t>
  </si>
  <si>
    <t>국어B 122</t>
  </si>
  <si>
    <t>국어B 121</t>
  </si>
  <si>
    <t>국어B 120</t>
  </si>
  <si>
    <t>국어B 119</t>
  </si>
  <si>
    <t>국어B 118</t>
  </si>
  <si>
    <t>국어B 117</t>
  </si>
  <si>
    <t>국어B 116</t>
  </si>
  <si>
    <t>국어B 115</t>
  </si>
  <si>
    <t>국어B 114</t>
  </si>
  <si>
    <t>국어B 113</t>
  </si>
  <si>
    <t>국어B 112</t>
  </si>
  <si>
    <t>국어B 111</t>
  </si>
  <si>
    <t>국어B 110</t>
  </si>
  <si>
    <t>국어B 109</t>
  </si>
  <si>
    <t>국어B 108</t>
  </si>
  <si>
    <t>국어B 107</t>
  </si>
  <si>
    <t>국어B 106</t>
  </si>
  <si>
    <t>국어B 105</t>
  </si>
  <si>
    <t>국어B 104</t>
  </si>
  <si>
    <t>국어B 103</t>
  </si>
  <si>
    <t>국어B 102</t>
  </si>
  <si>
    <t>국어B 101</t>
  </si>
  <si>
    <t>국어B 100</t>
  </si>
  <si>
    <t>국어B 99</t>
  </si>
  <si>
    <t>국어B 98</t>
  </si>
  <si>
    <t>국어B 97</t>
  </si>
  <si>
    <t>국어B 96</t>
  </si>
  <si>
    <t>국어B 95</t>
  </si>
  <si>
    <t>국어B 94</t>
  </si>
  <si>
    <t>국어B 93</t>
  </si>
  <si>
    <t>국어B 92</t>
  </si>
  <si>
    <t>국어B 91</t>
  </si>
  <si>
    <t>국어B 90</t>
  </si>
  <si>
    <t>국어B 89</t>
  </si>
  <si>
    <t>국어B 88</t>
  </si>
  <si>
    <t>국어B 87</t>
  </si>
  <si>
    <t>국어B 86</t>
  </si>
  <si>
    <t>국어B 85</t>
  </si>
  <si>
    <t>국어B 84</t>
  </si>
  <si>
    <t>국어B 83</t>
  </si>
  <si>
    <t>국어B 82</t>
  </si>
  <si>
    <t>국어B 81</t>
  </si>
  <si>
    <t>국어B 79</t>
  </si>
  <si>
    <t>국어B 78</t>
  </si>
  <si>
    <t>국어B 77</t>
  </si>
  <si>
    <t>국어B 76</t>
  </si>
  <si>
    <t>국어B 75</t>
  </si>
  <si>
    <t>국어B 74</t>
  </si>
  <si>
    <t>국어B 73</t>
  </si>
  <si>
    <t>국어B 72</t>
  </si>
  <si>
    <t>국어B 71</t>
  </si>
  <si>
    <t>국어B 70</t>
  </si>
  <si>
    <t>국어B 69</t>
  </si>
  <si>
    <t>국어B 68</t>
  </si>
  <si>
    <t>국어B 67</t>
  </si>
  <si>
    <t>국어B 66</t>
  </si>
  <si>
    <t>국어B 65</t>
  </si>
  <si>
    <t>국어B 64</t>
  </si>
  <si>
    <t>국어B 63</t>
  </si>
  <si>
    <t>국어B 62</t>
  </si>
  <si>
    <t>국어B 61</t>
  </si>
  <si>
    <t>국어B 60</t>
  </si>
  <si>
    <t>국어B 59</t>
  </si>
  <si>
    <t>국어B 58</t>
  </si>
  <si>
    <t>국어B 57</t>
  </si>
  <si>
    <t>국어B 56</t>
  </si>
  <si>
    <t>국어B 55</t>
  </si>
  <si>
    <t>국어B 54</t>
  </si>
  <si>
    <t>국어B 53</t>
  </si>
  <si>
    <t>국어B 52</t>
  </si>
  <si>
    <t>국어B 51</t>
  </si>
  <si>
    <t>국어B 50</t>
  </si>
  <si>
    <t>국어B 49</t>
  </si>
  <si>
    <t>국어B 48</t>
  </si>
  <si>
    <t>국어B 47</t>
  </si>
  <si>
    <t>국어B 46</t>
  </si>
  <si>
    <t>국어B 45</t>
  </si>
  <si>
    <t>국어B 44</t>
  </si>
  <si>
    <t>국어B 43</t>
  </si>
  <si>
    <t>국어B 42</t>
  </si>
  <si>
    <t>국어B 41</t>
  </si>
  <si>
    <t>국어B 40</t>
  </si>
  <si>
    <t>국어B 39</t>
  </si>
  <si>
    <t>국어B 38</t>
  </si>
  <si>
    <t>국어B 37</t>
  </si>
  <si>
    <t>국어B 35</t>
  </si>
  <si>
    <t>국어B 34</t>
  </si>
  <si>
    <t>국어B 33</t>
  </si>
  <si>
    <t>국어B 32</t>
  </si>
  <si>
    <t>국어B 31</t>
  </si>
  <si>
    <t>국어B 30</t>
  </si>
  <si>
    <t>국어B 28</t>
  </si>
  <si>
    <t>수학A 143</t>
  </si>
  <si>
    <t>수학A</t>
  </si>
  <si>
    <t>수학A 141</t>
  </si>
  <si>
    <t>수학A 140</t>
  </si>
  <si>
    <t>수학A 139</t>
  </si>
  <si>
    <t>수학A 138</t>
  </si>
  <si>
    <t>수학A 137</t>
  </si>
  <si>
    <t>수학A 136</t>
  </si>
  <si>
    <t>수학A 135</t>
  </si>
  <si>
    <t>수학A 134</t>
  </si>
  <si>
    <t>수학A 133</t>
  </si>
  <si>
    <t>수학A 132</t>
  </si>
  <si>
    <t>수학A 131</t>
  </si>
  <si>
    <t>수학A 130</t>
  </si>
  <si>
    <t>수학A 129</t>
  </si>
  <si>
    <t>수학A 128</t>
  </si>
  <si>
    <t>수학A 127</t>
  </si>
  <si>
    <t>수학A 126</t>
  </si>
  <si>
    <t>수학A 125</t>
  </si>
  <si>
    <t>수학A 124</t>
  </si>
  <si>
    <t>수학A 123</t>
  </si>
  <si>
    <t>수학A 122</t>
  </si>
  <si>
    <t>수학A 121</t>
  </si>
  <si>
    <t>수학A 120</t>
  </si>
  <si>
    <t>수학A 119</t>
  </si>
  <si>
    <t>수학A 118</t>
  </si>
  <si>
    <t>수학A 117</t>
  </si>
  <si>
    <t>수학A 116</t>
  </si>
  <si>
    <t>수학A 115</t>
  </si>
  <si>
    <t>수학A 114</t>
  </si>
  <si>
    <t>수학A 113</t>
  </si>
  <si>
    <t>수학A 112</t>
  </si>
  <si>
    <t>수학A 111</t>
  </si>
  <si>
    <t>수학A 110</t>
  </si>
  <si>
    <t>수학A 109</t>
  </si>
  <si>
    <t>수학A 108</t>
  </si>
  <si>
    <t>수학A 107</t>
  </si>
  <si>
    <t>수학A 106</t>
  </si>
  <si>
    <t>수학A 105</t>
  </si>
  <si>
    <t>수학A 104</t>
  </si>
  <si>
    <t>수학A 103</t>
  </si>
  <si>
    <t>수학A 102</t>
  </si>
  <si>
    <t>수학A 101</t>
  </si>
  <si>
    <t>수학A 100</t>
  </si>
  <si>
    <t>수학A 99</t>
  </si>
  <si>
    <t>수학A 98</t>
  </si>
  <si>
    <t>수학A 97</t>
  </si>
  <si>
    <t>수학A 96</t>
  </si>
  <si>
    <t>수학A 95</t>
  </si>
  <si>
    <t>수학A 94</t>
  </si>
  <si>
    <t>수학A 93</t>
  </si>
  <si>
    <t>수학A 92</t>
  </si>
  <si>
    <t>수학A 91</t>
  </si>
  <si>
    <t>수학A 90</t>
  </si>
  <si>
    <t>수학A 89</t>
  </si>
  <si>
    <t>수학A 88</t>
  </si>
  <si>
    <t>수학A 87</t>
  </si>
  <si>
    <t>수학A 86</t>
  </si>
  <si>
    <t>수학A 85</t>
  </si>
  <si>
    <t>수학A 84</t>
  </si>
  <si>
    <t>수학A 83</t>
  </si>
  <si>
    <t>수학A 82</t>
  </si>
  <si>
    <t>수학A 81</t>
  </si>
  <si>
    <t>수학A 80</t>
  </si>
  <si>
    <t>수학A 79</t>
  </si>
  <si>
    <t>수학A 78</t>
  </si>
  <si>
    <t>수학A 77</t>
  </si>
  <si>
    <t>수학A 76</t>
  </si>
  <si>
    <t>수학A 75</t>
  </si>
  <si>
    <t>수학A 74</t>
  </si>
  <si>
    <t>수학A 73</t>
  </si>
  <si>
    <t>수학A 72</t>
  </si>
  <si>
    <t>수학A 71</t>
  </si>
  <si>
    <t>수학A 70</t>
  </si>
  <si>
    <t>수학A 69</t>
  </si>
  <si>
    <t>수학A 68</t>
  </si>
  <si>
    <t>수학A 67</t>
  </si>
  <si>
    <t>수학A 66</t>
  </si>
  <si>
    <t>수학B 138</t>
  </si>
  <si>
    <t>수학B</t>
  </si>
  <si>
    <t>수학B 137</t>
  </si>
  <si>
    <t>수학B 136</t>
  </si>
  <si>
    <t>수학B 135</t>
  </si>
  <si>
    <t>수학B 134</t>
  </si>
  <si>
    <t>수학B 133</t>
  </si>
  <si>
    <t>수학B 132</t>
  </si>
  <si>
    <t>수학B 131</t>
  </si>
  <si>
    <t>수학B 130</t>
  </si>
  <si>
    <t>수학B 129</t>
  </si>
  <si>
    <t>수학B 128</t>
  </si>
  <si>
    <t>수학B 127</t>
  </si>
  <si>
    <t>수학B 126</t>
  </si>
  <si>
    <t>수학B 125</t>
  </si>
  <si>
    <t>수학B 124</t>
  </si>
  <si>
    <t>수학B 123</t>
  </si>
  <si>
    <t>수학B 122</t>
  </si>
  <si>
    <t>수학B 121</t>
  </si>
  <si>
    <t>수학B 120</t>
  </si>
  <si>
    <t>수학B 119</t>
  </si>
  <si>
    <t>수학B 118</t>
  </si>
  <si>
    <t>수학B 117</t>
  </si>
  <si>
    <t>수학B 116</t>
  </si>
  <si>
    <t>수학B 115</t>
  </si>
  <si>
    <t>수학B 114</t>
  </si>
  <si>
    <t>수학B 113</t>
  </si>
  <si>
    <t>수학B 112</t>
  </si>
  <si>
    <t>수학B 111</t>
  </si>
  <si>
    <t>수학B 110</t>
  </si>
  <si>
    <t>수학B 109</t>
  </si>
  <si>
    <t>수학B 108</t>
  </si>
  <si>
    <t>수학B 107</t>
  </si>
  <si>
    <t>수학B 106</t>
  </si>
  <si>
    <t>수학B 105</t>
  </si>
  <si>
    <t>수학B 104</t>
  </si>
  <si>
    <t>수학B 103</t>
  </si>
  <si>
    <t>수학B 102</t>
  </si>
  <si>
    <t>수학B 101</t>
  </si>
  <si>
    <t>수학B 100</t>
  </si>
  <si>
    <t>수학B 99</t>
  </si>
  <si>
    <t>수학B 98</t>
  </si>
  <si>
    <t>수학B 97</t>
  </si>
  <si>
    <t>수학B 96</t>
  </si>
  <si>
    <t>수학B 95</t>
  </si>
  <si>
    <t>수학B 94</t>
  </si>
  <si>
    <t>수학B 93</t>
  </si>
  <si>
    <t>수학B 92</t>
  </si>
  <si>
    <t>수학B 91</t>
  </si>
  <si>
    <t>수학B 90</t>
  </si>
  <si>
    <t>수학B 89</t>
  </si>
  <si>
    <t>수학B 88</t>
  </si>
  <si>
    <t>수학B 87</t>
  </si>
  <si>
    <t>수학B 86</t>
  </si>
  <si>
    <t>수학B 85</t>
  </si>
  <si>
    <t>수학B 84</t>
  </si>
  <si>
    <t>수학B 83</t>
  </si>
  <si>
    <t>수학B 82</t>
  </si>
  <si>
    <t>수학B 81</t>
  </si>
  <si>
    <t>수학B 80</t>
  </si>
  <si>
    <t>수학B 79</t>
  </si>
  <si>
    <t>수학B 78</t>
  </si>
  <si>
    <t>수학B 77</t>
  </si>
  <si>
    <t>수학B 76</t>
  </si>
  <si>
    <t>수학B 75</t>
  </si>
  <si>
    <t>수학B 74</t>
  </si>
  <si>
    <t>수학B 73</t>
  </si>
  <si>
    <t>수학B 72</t>
  </si>
  <si>
    <t>수학B 71</t>
  </si>
  <si>
    <t>수학B 70</t>
  </si>
  <si>
    <t>수학B 69</t>
  </si>
  <si>
    <t>수학B 68</t>
  </si>
  <si>
    <t>수학B 67</t>
  </si>
  <si>
    <t>수학B 66</t>
  </si>
  <si>
    <t>수학B 65</t>
  </si>
  <si>
    <t>수학B 64</t>
  </si>
  <si>
    <t>수학B 63</t>
  </si>
  <si>
    <t>수학B 62</t>
  </si>
  <si>
    <t>수학B 61</t>
  </si>
  <si>
    <t>수학B 60</t>
  </si>
  <si>
    <t>수학B 59</t>
  </si>
  <si>
    <t>수학B 58</t>
  </si>
  <si>
    <t>수학B 56</t>
  </si>
  <si>
    <t>영어B 136</t>
  </si>
  <si>
    <t>영어B</t>
  </si>
  <si>
    <t>영어B 134</t>
  </si>
  <si>
    <t>영어B 133</t>
  </si>
  <si>
    <t>영어B 132</t>
  </si>
  <si>
    <t>영어B 131</t>
  </si>
  <si>
    <t>영어B 130</t>
  </si>
  <si>
    <t>영어B 129</t>
  </si>
  <si>
    <t>영어B 128</t>
  </si>
  <si>
    <t>영어B 127</t>
  </si>
  <si>
    <t>영어B 126</t>
  </si>
  <si>
    <t>영어B 125</t>
  </si>
  <si>
    <t>영어B 124</t>
  </si>
  <si>
    <t>영어B 123</t>
  </si>
  <si>
    <t>영어B 122</t>
  </si>
  <si>
    <t>영어B 121</t>
  </si>
  <si>
    <t>영어B 120</t>
  </si>
  <si>
    <t>영어B 119</t>
  </si>
  <si>
    <t>영어B 118</t>
  </si>
  <si>
    <t>영어B 117</t>
  </si>
  <si>
    <t>영어B 116</t>
  </si>
  <si>
    <t>영어B 115</t>
  </si>
  <si>
    <t>영어B 114</t>
  </si>
  <si>
    <t>영어B 113</t>
  </si>
  <si>
    <t>영어B 112</t>
  </si>
  <si>
    <t>영어B 111</t>
  </si>
  <si>
    <t>영어B 110</t>
  </si>
  <si>
    <t>영어B 109</t>
  </si>
  <si>
    <t>영어B 108</t>
  </si>
  <si>
    <t>영어B 107</t>
  </si>
  <si>
    <t>영어B 106</t>
  </si>
  <si>
    <t>영어B 105</t>
  </si>
  <si>
    <t>영어B 104</t>
  </si>
  <si>
    <t>영어B 102</t>
  </si>
  <si>
    <t>영어B 101</t>
  </si>
  <si>
    <t>영어B 100</t>
  </si>
  <si>
    <t>영어B 99</t>
  </si>
  <si>
    <t>영어B 98</t>
  </si>
  <si>
    <t>영어B 97</t>
  </si>
  <si>
    <t>영어B 96</t>
  </si>
  <si>
    <t>영어B 95</t>
  </si>
  <si>
    <t>영어B 94</t>
  </si>
  <si>
    <t>영어B 93</t>
  </si>
  <si>
    <t>영어B 92</t>
  </si>
  <si>
    <t>영어B 91</t>
  </si>
  <si>
    <t>영어B 90</t>
  </si>
  <si>
    <t>영어B 89</t>
  </si>
  <si>
    <t>영어B 88</t>
  </si>
  <si>
    <t>영어B 87</t>
  </si>
  <si>
    <t>영어B 86</t>
  </si>
  <si>
    <t>영어B 85</t>
  </si>
  <si>
    <t>영어B 84</t>
  </si>
  <si>
    <t>영어B 83</t>
  </si>
  <si>
    <t>영어B 82</t>
  </si>
  <si>
    <t>영어B 81</t>
  </si>
  <si>
    <t>영어B 80</t>
  </si>
  <si>
    <t>영어B 79</t>
  </si>
  <si>
    <t>영어B 78</t>
  </si>
  <si>
    <t>영어B 77</t>
  </si>
  <si>
    <t>영어B 76</t>
  </si>
  <si>
    <t>영어B 75</t>
  </si>
  <si>
    <t>영어B 74</t>
  </si>
  <si>
    <t>영어B 73</t>
  </si>
  <si>
    <t>영어B 72</t>
  </si>
  <si>
    <t>영어B 71</t>
  </si>
  <si>
    <t>영어B 70</t>
  </si>
  <si>
    <t>영어B 69</t>
  </si>
  <si>
    <t>영어B 68</t>
  </si>
  <si>
    <t>영어B 67</t>
  </si>
  <si>
    <t>영어B 66</t>
  </si>
  <si>
    <t>영어B 65</t>
  </si>
  <si>
    <t>영어B 64</t>
  </si>
  <si>
    <t>영어B 63</t>
  </si>
  <si>
    <t>영어B 62</t>
  </si>
  <si>
    <t>영어B 61</t>
  </si>
  <si>
    <t>영어B 60</t>
  </si>
  <si>
    <t>영어B 59</t>
  </si>
  <si>
    <t>영어B 58</t>
  </si>
  <si>
    <t>영어B 57</t>
  </si>
  <si>
    <t>영어B 56</t>
  </si>
  <si>
    <t>영어B 54</t>
  </si>
  <si>
    <t>영어B 53</t>
  </si>
  <si>
    <t>영어B 52</t>
  </si>
  <si>
    <t>영어B 51</t>
  </si>
  <si>
    <t>영어B 50</t>
  </si>
  <si>
    <t>영어B 49</t>
  </si>
  <si>
    <t>영어B 48</t>
  </si>
  <si>
    <t>영어B 47</t>
  </si>
  <si>
    <t>영어B 46</t>
  </si>
  <si>
    <t>영어B 45</t>
  </si>
  <si>
    <t>영어B 44</t>
  </si>
  <si>
    <t>영어B 43</t>
  </si>
  <si>
    <t>영어B 42</t>
  </si>
  <si>
    <t>영어B 41</t>
  </si>
  <si>
    <t>영어B 40</t>
  </si>
  <si>
    <t>영어B 39</t>
  </si>
  <si>
    <t>영어B 38</t>
  </si>
  <si>
    <t>영어B 37</t>
  </si>
  <si>
    <t>영어B 36</t>
  </si>
  <si>
    <t>영어B 34</t>
  </si>
  <si>
    <t>13.12.14</t>
    <phoneticPr fontId="1" type="noConversion"/>
  </si>
  <si>
    <t>주요대학 변환표준점수 적용, 청솔 누적적용</t>
    <phoneticPr fontId="1" type="noConversion"/>
  </si>
  <si>
    <t>3.0.0</t>
    <phoneticPr fontId="1" type="noConversion"/>
  </si>
  <si>
    <t>국수</t>
  </si>
  <si>
    <t>건국대</t>
  </si>
  <si>
    <t>경북대</t>
  </si>
  <si>
    <t>경희대</t>
  </si>
  <si>
    <r>
      <t>고려대</t>
    </r>
    <r>
      <rPr>
        <sz val="10"/>
        <color rgb="FF000000"/>
        <rFont val="굴림"/>
        <family val="3"/>
        <charset val="129"/>
      </rPr>
      <t>(세종)</t>
    </r>
  </si>
  <si>
    <t>동국대</t>
  </si>
  <si>
    <t>서강대</t>
  </si>
  <si>
    <t>서울</t>
  </si>
  <si>
    <t>이화</t>
  </si>
  <si>
    <t>인하대</t>
  </si>
  <si>
    <t>한국</t>
  </si>
  <si>
    <t>한양대</t>
  </si>
  <si>
    <t>영사2</t>
  </si>
  <si>
    <t>경상</t>
  </si>
  <si>
    <t>인문</t>
  </si>
  <si>
    <t>시립대</t>
  </si>
  <si>
    <t>여대</t>
  </si>
  <si>
    <t>외대</t>
  </si>
  <si>
    <t>[800]</t>
  </si>
  <si>
    <t>[500]</t>
  </si>
  <si>
    <t>[1000]</t>
  </si>
  <si>
    <t>[700]</t>
  </si>
  <si>
    <t>[600]</t>
  </si>
  <si>
    <t>&lt;누적&gt;</t>
  </si>
  <si>
    <t>만점</t>
  </si>
  <si>
    <t>[기준]</t>
  </si>
  <si>
    <t>\</t>
    <phoneticPr fontId="1" type="noConversion"/>
  </si>
  <si>
    <t>청솔</t>
    <phoneticPr fontId="1" type="noConversion"/>
  </si>
  <si>
    <t>청솔기준</t>
    <phoneticPr fontId="1" type="noConversion"/>
  </si>
  <si>
    <t>청솔</t>
    <phoneticPr fontId="1" type="noConversion"/>
  </si>
  <si>
    <t>청솔</t>
    <phoneticPr fontId="1" type="noConversion"/>
  </si>
  <si>
    <t>청솔이과</t>
    <phoneticPr fontId="1" type="noConversion"/>
  </si>
  <si>
    <t>청솔학원에서 공개한 누적백분위 이며 다음링크를 참조하세요</t>
    <phoneticPr fontId="1" type="noConversion"/>
  </si>
  <si>
    <t>http://www.etoos.com/report/report/report05.asp?boardArticle_id=16823105&amp;page=1&amp;REPORT_FRAME_YN=N</t>
  </si>
  <si>
    <t>홍익대</t>
  </si>
  <si>
    <t>오르비  물량공급(kyu7002)</t>
    <phoneticPr fontId="1" type="noConversion"/>
  </si>
  <si>
    <t>가중치</t>
    <phoneticPr fontId="1" type="noConversion"/>
  </si>
  <si>
    <t>청솔</t>
    <phoneticPr fontId="1" type="noConversion"/>
  </si>
  <si>
    <t>서울대</t>
    <phoneticPr fontId="1" type="noConversion"/>
  </si>
  <si>
    <t>한양인문</t>
    <phoneticPr fontId="1" type="noConversion"/>
  </si>
  <si>
    <t>건국대(가산)</t>
    <phoneticPr fontId="1" type="noConversion"/>
  </si>
  <si>
    <t>서울대(이과교차)</t>
    <phoneticPr fontId="1" type="noConversion"/>
  </si>
  <si>
    <t>서강인문</t>
    <phoneticPr fontId="1" type="noConversion"/>
  </si>
  <si>
    <t>서강상경</t>
    <phoneticPr fontId="1" type="noConversion"/>
  </si>
  <si>
    <t>성대우선</t>
    <phoneticPr fontId="1" type="noConversion"/>
  </si>
  <si>
    <t>중앙대(공공)</t>
    <phoneticPr fontId="1" type="noConversion"/>
  </si>
  <si>
    <t>한국외대</t>
    <phoneticPr fontId="1" type="noConversion"/>
  </si>
  <si>
    <t>서울시립대</t>
    <phoneticPr fontId="1" type="noConversion"/>
  </si>
  <si>
    <t>건국대</t>
    <phoneticPr fontId="1" type="noConversion"/>
  </si>
  <si>
    <t>동국대</t>
    <phoneticPr fontId="1" type="noConversion"/>
  </si>
  <si>
    <t>건국대</t>
    <phoneticPr fontId="1" type="noConversion"/>
  </si>
  <si>
    <t>홍익대</t>
    <phoneticPr fontId="1" type="noConversion"/>
  </si>
  <si>
    <t>서울시립대</t>
    <phoneticPr fontId="1" type="noConversion"/>
  </si>
  <si>
    <t>환산점수</t>
    <phoneticPr fontId="1" type="noConversion"/>
  </si>
  <si>
    <t>환산점수</t>
    <phoneticPr fontId="1" type="noConversion"/>
  </si>
  <si>
    <t>청솔누적</t>
    <phoneticPr fontId="1" type="noConversion"/>
  </si>
  <si>
    <t>Kaleidoscope</t>
    <phoneticPr fontId="1" type="noConversion"/>
  </si>
  <si>
    <r>
      <t>단순표점합</t>
    </r>
    <r>
      <rPr>
        <b/>
        <sz val="9"/>
        <color rgb="FFFF4600"/>
        <rFont val="돋움"/>
        <family val="3"/>
        <charset val="129"/>
      </rPr>
      <t>*</t>
    </r>
  </si>
  <si>
    <r>
      <t>Fait점수</t>
    </r>
    <r>
      <rPr>
        <b/>
        <sz val="9"/>
        <color rgb="FFFF4600"/>
        <rFont val="돋움"/>
        <family val="3"/>
        <charset val="129"/>
      </rPr>
      <t>*</t>
    </r>
  </si>
  <si>
    <t>확인날짜</t>
    <phoneticPr fontId="1" type="noConversion"/>
  </si>
  <si>
    <t>최고점</t>
  </si>
  <si>
    <t>http://faitcalc.orbi.kr/apply/1412/kaleidoscope</t>
    <phoneticPr fontId="1" type="noConversion"/>
  </si>
  <si>
    <t>자주묻는질문
1. 고려대는 제2외국어 대체 감점폭이 크기때문에 반영비율이 동일해도 누적백분위가 다르게 나올수 있습니다.
다음글을 참고해주세요 http://orbi.kr/0004062053
2. 물량공급 계산기는 합격 확률을 알려주는 도구가 아니라 환산점수를 계산해주는 보조수단 입니다. 
3. 청솔과 오르비 칼레중 어느것이 맞는지는 한국교육과정평가원만 알고있습니다.
4. 한양대, 중앙대의 경우 나군점수 * 0.7 = 가군점수 입니다. 한양대 홈페이지에 나와있는 점수는 나군점수인데 가군점수+내신점수가 9xx로 표시되고 있으므로 혼란을 방지하기위해 6xx 점수대로 정보를 통용하는것이 좋습니다.
5. 홍익대는 가군점수 *1.25 = 다군점수 입니다.
6. 오르비 칼레이도스코프는 유료상품입니다. 자세한 추정표를 열람하시려면 
http://faitcalc.orbi.kr/apply/1412/kaleidoscope
을 방문해주세요
7. 이투스 청솔누적 
http://www.etoos.com/report/report/report05.asp?boardArticle_id=16823105&amp;page=1&amp;REPORT_FRAME_YN=N</t>
    <phoneticPr fontId="1" type="noConversion"/>
  </si>
  <si>
    <t>서울대는 제2외국어 등급을 수동으로 입력해야함</t>
    <phoneticPr fontId="1" type="noConversion"/>
  </si>
  <si>
    <t>표준점수 입력하면 백분위는 자동완성됨</t>
    <phoneticPr fontId="1" type="noConversion"/>
  </si>
  <si>
    <t>서울시립대</t>
  </si>
  <si>
    <t>성균관대</t>
  </si>
  <si>
    <t>이화여대</t>
  </si>
  <si>
    <t>한국외대</t>
  </si>
  <si>
    <t>만점[기준]</t>
  </si>
  <si>
    <t>3.1.0</t>
    <phoneticPr fontId="1" type="noConversion"/>
  </si>
  <si>
    <t>주요대학 변환표준점수 적용, 청솔 누적 성대 업데이트</t>
    <phoneticPr fontId="1" type="noConversion"/>
  </si>
  <si>
    <t>국수영사2</t>
  </si>
  <si>
    <t>* 표준점수 800점 기준의 최고점은 국수영 만점, 한국사 필수 응시 기준</t>
  </si>
  <si>
    <t>** 대학별 환산점수 최고점은 수능 반영 비율과 탐구 변표 점수까지 고려하여 산출</t>
  </si>
  <si>
    <t>중앙대</t>
    <phoneticPr fontId="1" type="noConversion"/>
  </si>
  <si>
    <t>GM2</t>
    <phoneticPr fontId="1" type="noConversion"/>
  </si>
  <si>
    <t>중앙대 청솔누적 업데이트</t>
    <phoneticPr fontId="1" type="noConversion"/>
  </si>
  <si>
    <t>FINAL</t>
    <phoneticPr fontId="1" type="noConversion"/>
  </si>
  <si>
    <t>중앙대</t>
  </si>
  <si>
    <t>인문&lt;상위누적&gt;</t>
  </si>
  <si>
    <r>
      <t>고려대</t>
    </r>
    <r>
      <rPr>
        <b/>
        <sz val="10"/>
        <color rgb="FF000000"/>
        <rFont val="맑은 고딕"/>
        <family val="3"/>
        <charset val="129"/>
      </rPr>
      <t>(세종)경상</t>
    </r>
  </si>
  <si>
    <r>
      <t>서강대</t>
    </r>
    <r>
      <rPr>
        <b/>
        <sz val="10"/>
        <color rgb="FF000000"/>
        <rFont val="맑은 고딕"/>
        <family val="3"/>
        <charset val="129"/>
      </rPr>
      <t>인문</t>
    </r>
  </si>
  <si>
    <r>
      <t>서강대</t>
    </r>
    <r>
      <rPr>
        <b/>
        <sz val="10"/>
        <color rgb="FF000000"/>
        <rFont val="맑은 고딕"/>
        <family val="3"/>
        <charset val="129"/>
      </rPr>
      <t>경상</t>
    </r>
  </si>
  <si>
    <t>2013.12.18</t>
    <phoneticPr fontId="1" type="noConversion"/>
  </si>
  <si>
    <t>am4:00</t>
    <phoneticPr fontId="1" type="noConversion"/>
  </si>
  <si>
    <t xml:space="preserve"> : 추정안됨, N/A : 추정범위초과
성대우선 청솔누적은 청솔 국수영 표점합 누적백분위를 활용함</t>
  </si>
  <si>
    <r>
      <t>서강대</t>
    </r>
    <r>
      <rPr>
        <sz val="8"/>
        <color theme="1"/>
        <rFont val="나눔명조OTF"/>
        <family val="1"/>
        <charset val="129"/>
      </rPr>
      <t>인문</t>
    </r>
    <phoneticPr fontId="1" type="noConversion"/>
  </si>
  <si>
    <r>
      <t>서강대</t>
    </r>
    <r>
      <rPr>
        <sz val="9"/>
        <color theme="1"/>
        <rFont val="나눔명조OTF"/>
        <family val="1"/>
        <charset val="129"/>
      </rPr>
      <t>상경</t>
    </r>
    <phoneticPr fontId="1" type="noConversion"/>
  </si>
  <si>
    <r>
      <t>성균관</t>
    </r>
    <r>
      <rPr>
        <sz val="8"/>
        <color theme="1"/>
        <rFont val="나눔명조OTF"/>
        <family val="1"/>
        <charset val="129"/>
      </rPr>
      <t>우선</t>
    </r>
  </si>
  <si>
    <r>
      <t>성균관</t>
    </r>
    <r>
      <rPr>
        <sz val="8"/>
        <color theme="1"/>
        <rFont val="나눔명조OTF"/>
        <family val="1"/>
        <charset val="129"/>
      </rPr>
      <t>일반</t>
    </r>
  </si>
  <si>
    <r>
      <t>한양대</t>
    </r>
    <r>
      <rPr>
        <sz val="8"/>
        <color theme="1"/>
        <rFont val="나눔명조OTF"/>
        <family val="1"/>
        <charset val="129"/>
      </rPr>
      <t>인문</t>
    </r>
    <phoneticPr fontId="1" type="noConversion"/>
  </si>
  <si>
    <r>
      <t>한양대</t>
    </r>
    <r>
      <rPr>
        <sz val="8"/>
        <color theme="1"/>
        <rFont val="나눔명조OTF"/>
        <family val="1"/>
        <charset val="129"/>
      </rPr>
      <t>상경</t>
    </r>
    <phoneticPr fontId="1" type="noConversion"/>
  </si>
  <si>
    <r>
      <t>중앙대</t>
    </r>
    <r>
      <rPr>
        <sz val="8"/>
        <color theme="1"/>
        <rFont val="나눔명조OTF"/>
        <family val="1"/>
        <charset val="129"/>
      </rPr>
      <t>인문</t>
    </r>
    <phoneticPr fontId="1" type="noConversion"/>
  </si>
  <si>
    <t>사탐백분위*</t>
  </si>
  <si>
    <t>중앙인문</t>
    <phoneticPr fontId="1" type="noConversion"/>
  </si>
  <si>
    <t>오르비 칼레(사탐)</t>
    <phoneticPr fontId="1" type="noConversion"/>
  </si>
  <si>
    <t>오르비 칼레(석차)</t>
    <phoneticPr fontId="1" type="noConversion"/>
  </si>
  <si>
    <t>서울대(교차)</t>
    <phoneticPr fontId="1" type="noConversion"/>
  </si>
  <si>
    <t>수학B형</t>
    <phoneticPr fontId="1" type="noConversion"/>
  </si>
  <si>
    <t>칼레이도스코프 업데이트(12.17)</t>
    <phoneticPr fontId="1" type="noConversion"/>
  </si>
  <si>
    <t>FINAL V2</t>
    <phoneticPr fontId="1" type="noConversion"/>
  </si>
  <si>
    <t>칼레이도스코프 유료버전 업데이트(12.26)</t>
    <phoneticPr fontId="1" type="noConversion"/>
  </si>
  <si>
    <t>2014 물량공급 계산기 문과 FINAL V2</t>
    <phoneticPr fontId="1" type="noConversion"/>
  </si>
  <si>
    <t>2014 물량공급 계산기 문과  FINAL V2 [최종 공개용]</t>
    <phoneticPr fontId="1" type="noConversion"/>
  </si>
  <si>
    <t>Kaleidoscope Professional 2014 인문계</t>
    <phoneticPr fontId="1" type="noConversion"/>
  </si>
  <si>
    <r>
      <t xml:space="preserve">Powered by Orbis Optimus Fait NT Statistics Engine. Copyright © Orbis Optimus Fait et Praesagium Team, 2001~2013. | </t>
    </r>
    <r>
      <rPr>
        <sz val="10"/>
        <color rgb="FFFF0000"/>
        <rFont val="나눔명조OTF"/>
        <family val="1"/>
        <charset val="129"/>
      </rPr>
      <t xml:space="preserve">무단 전재, 복제 금지 </t>
    </r>
    <phoneticPr fontId="1" type="noConversion"/>
  </si>
  <si>
    <t>*사탐백분위: 인문계 응시자를 '사회탐구 응시자'로 정의하고, 사회탐구 총 응시자 수로 전국석차를 나누어 석차백분율을 산출한 것. (오르비 표준)</t>
    <phoneticPr fontId="1" type="noConversion"/>
  </si>
  <si>
    <t>오르비는 서로 다른 백분위 산출 기준으로 인한 혼란을 방지하기 위하여, 석차백분위가 아닌, 전국석차 그 자체를 대표 지표로 사용하는 것을 권장합니다.</t>
    <phoneticPr fontId="1" type="noConversion"/>
  </si>
  <si>
    <t>수시모집 합격자도 엄연한 수능 응시자로서 석차를 부여받는 것이 타당하므로, 수시모집 합격자를 전국석차 산정 과정에서 제외하지 않았습니다.</t>
    <phoneticPr fontId="1" type="noConversion"/>
  </si>
  <si>
    <t>지원 자격을 만족시키지 못하더라도 점수를 연산할 수 있는 경우에는 전국석차에 포함되어 있습니다. (예: 국사 미응시자도 서울대 석차에 포함)</t>
    <phoneticPr fontId="1" type="noConversion"/>
  </si>
  <si>
    <r>
      <rPr>
        <sz val="10"/>
        <color theme="9"/>
        <rFont val="나눔명조OTF"/>
        <family val="1"/>
        <charset val="129"/>
      </rPr>
      <t>*</t>
    </r>
    <r>
      <rPr>
        <sz val="10"/>
        <color rgb="FF000000"/>
        <rFont val="나눔명조OTF"/>
        <family val="1"/>
        <charset val="129"/>
      </rPr>
      <t>단순표점합 = 국B+수A+영B+사탐2과목의표준점수 | Fait점수 = 국B표점+수A표점+영B표점+[사탐2과목,제2외국어 중 백분위 높은 2과목의 백분위를 평균한 값]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</si>
</sst>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0_);[Red]\(0.00\)"/>
    <numFmt numFmtId="177" formatCode="0.000_);[Red]\(0.000\)"/>
    <numFmt numFmtId="178" formatCode="0_ "/>
    <numFmt numFmtId="179" formatCode="0.000%"/>
    <numFmt numFmtId="180" formatCode="0_);[Red]\(0\)"/>
    <numFmt numFmtId="181" formatCode="0.00_ "/>
    <numFmt numFmtId="182" formatCode="0.0"/>
    <numFmt numFmtId="183" formatCode="#,##0_ "/>
    <numFmt numFmtId="184" formatCode="0.0000%"/>
    <numFmt numFmtId="185" formatCode="0.000"/>
  </numFmts>
  <fonts count="5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9"/>
      <color rgb="FFFFFFFF"/>
      <name val="돋움"/>
      <family val="3"/>
      <charset val="129"/>
    </font>
    <font>
      <b/>
      <sz val="9"/>
      <color rgb="FFFF4600"/>
      <name val="돋움"/>
      <family val="3"/>
      <charset val="129"/>
    </font>
    <font>
      <b/>
      <sz val="8"/>
      <color rgb="FFDFB78C"/>
      <name val="돋움"/>
      <family val="3"/>
      <charset val="129"/>
    </font>
    <font>
      <b/>
      <sz val="9"/>
      <color rgb="FF333333"/>
      <name val="돋움"/>
      <family val="3"/>
      <charset val="129"/>
    </font>
    <font>
      <sz val="9"/>
      <color rgb="FF333333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나눔명조OTF"/>
      <family val="1"/>
      <charset val="129"/>
    </font>
    <font>
      <sz val="11"/>
      <color theme="1"/>
      <name val="나눔명"/>
      <family val="1"/>
      <charset val="129"/>
    </font>
    <font>
      <sz val="9"/>
      <color rgb="FF000000"/>
      <name val="나눔명"/>
      <family val="1"/>
      <charset val="129"/>
    </font>
    <font>
      <b/>
      <sz val="11"/>
      <color theme="1"/>
      <name val="나눔명"/>
      <family val="1"/>
      <charset val="129"/>
    </font>
    <font>
      <b/>
      <sz val="18"/>
      <color theme="1"/>
      <name val="나눔명조OTF ExtraBold"/>
      <family val="1"/>
      <charset val="129"/>
    </font>
    <font>
      <sz val="11"/>
      <color theme="1"/>
      <name val="나눔"/>
      <family val="1"/>
      <charset val="129"/>
    </font>
    <font>
      <b/>
      <sz val="11"/>
      <color theme="1"/>
      <name val="나눔"/>
      <family val="1"/>
      <charset val="129"/>
    </font>
    <font>
      <b/>
      <sz val="14"/>
      <name val="나눔명조OTF ExtraBold"/>
      <family val="1"/>
      <charset val="129"/>
    </font>
    <font>
      <sz val="11"/>
      <color rgb="FFFF0000"/>
      <name val="나눔"/>
      <family val="1"/>
      <charset val="129"/>
    </font>
    <font>
      <u/>
      <sz val="11"/>
      <color theme="10"/>
      <name val="나눔"/>
      <family val="1"/>
      <charset val="129"/>
    </font>
    <font>
      <sz val="11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u/>
      <sz val="11"/>
      <color theme="10"/>
      <name val="나눔명조"/>
      <family val="1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바탕체"/>
      <family val="1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sz val="11"/>
      <color theme="7" tint="-0.499984740745262"/>
      <name val="바탕체"/>
      <family val="1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5E9ED3"/>
      <name val="돋움체"/>
      <family val="3"/>
      <charset val="129"/>
    </font>
    <font>
      <sz val="11"/>
      <name val="바탕체"/>
      <family val="1"/>
      <charset val="129"/>
    </font>
    <font>
      <sz val="11"/>
      <color rgb="FFFF0000"/>
      <name val="바탕체"/>
      <family val="1"/>
      <charset val="129"/>
    </font>
    <font>
      <sz val="11"/>
      <color theme="1"/>
      <name val="나눔명조OTF"/>
      <family val="1"/>
      <charset val="129"/>
    </font>
    <font>
      <sz val="8"/>
      <color theme="1"/>
      <name val="나눔명조OTF"/>
      <family val="1"/>
      <charset val="129"/>
    </font>
    <font>
      <sz val="9"/>
      <color theme="1"/>
      <name val="나눔명조OTF"/>
      <family val="1"/>
      <charset val="129"/>
    </font>
    <font>
      <b/>
      <sz val="11"/>
      <color rgb="FF000000"/>
      <name val="나눔명조OTF"/>
      <family val="1"/>
      <charset val="129"/>
    </font>
    <font>
      <sz val="10"/>
      <color rgb="FF000000"/>
      <name val="나눔명조OTF"/>
      <family val="1"/>
      <charset val="129"/>
    </font>
    <font>
      <sz val="10"/>
      <color rgb="FFFF0000"/>
      <name val="나눔명조OTF"/>
      <family val="1"/>
      <charset val="129"/>
    </font>
    <font>
      <sz val="10"/>
      <color theme="9"/>
      <name val="나눔명조OTF"/>
      <family val="1"/>
      <charset val="129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B4F2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C8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gradientFill degree="90">
        <stop position="0">
          <color theme="9" tint="0.80001220740379042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 tint="0.80001220740379042"/>
        </stop>
      </gradientFill>
    </fill>
    <fill>
      <patternFill patternType="solid">
        <fgColor rgb="FFFFFFCC"/>
        <bgColor indexed="64"/>
      </patternFill>
    </fill>
    <fill>
      <gradientFill degree="90">
        <stop position="0">
          <color theme="0"/>
        </stop>
        <stop position="1">
          <color theme="7" tint="0.59999389629810485"/>
        </stop>
      </gradientFill>
    </fill>
    <fill>
      <patternFill patternType="solid">
        <fgColor rgb="FFC0C0C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8E4BC"/>
        <bgColor indexed="64"/>
      </patternFill>
    </fill>
    <fill>
      <gradientFill>
        <stop position="0">
          <color theme="7" tint="0.80001220740379042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9" tint="0.40000610370189521"/>
        </stop>
      </gradientFill>
    </fill>
    <fill>
      <gradientFill degree="90">
        <stop position="0">
          <color theme="0"/>
        </stop>
        <stop position="1">
          <color rgb="FFCC99FF"/>
        </stop>
      </gradientFill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>
        <stop position="0">
          <color theme="0"/>
        </stop>
        <stop position="1">
          <color theme="7" tint="0.40000610370189521"/>
        </stop>
      </gradientFill>
    </fill>
    <fill>
      <patternFill patternType="solid">
        <fgColor theme="8" tint="0.79998168889431442"/>
        <bgColor auto="1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F4628"/>
      </left>
      <right style="medium">
        <color rgb="FF5F4628"/>
      </right>
      <top style="medium">
        <color rgb="FF5A4022"/>
      </top>
      <bottom style="medium">
        <color rgb="FF5A4022"/>
      </bottom>
      <diagonal/>
    </border>
    <border>
      <left style="medium">
        <color rgb="FFDDDDDD"/>
      </left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 style="medium">
        <color rgb="FFC4E0BE"/>
      </left>
      <right style="medium">
        <color rgb="FFC4E0BE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rgb="FFDDDDDD"/>
      </left>
      <right/>
      <top/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</cellStyleXfs>
  <cellXfs count="29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76" fontId="0" fillId="0" borderId="0" xfId="0" applyNumberFormat="1" applyAlignment="1" applyProtection="1">
      <alignment horizontal="center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>
      <alignment vertical="center"/>
    </xf>
    <xf numFmtId="178" fontId="6" fillId="3" borderId="0" xfId="9" applyNumberFormat="1" applyFont="1" applyFill="1" applyBorder="1" applyAlignment="1" applyProtection="1">
      <alignment horizontal="center" vertical="center" shrinkToFit="1"/>
    </xf>
    <xf numFmtId="0" fontId="10" fillId="4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10" fontId="14" fillId="5" borderId="15" xfId="0" applyNumberFormat="1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10" fontId="14" fillId="6" borderId="16" xfId="0" applyNumberFormat="1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3" fontId="13" fillId="5" borderId="15" xfId="0" applyNumberFormat="1" applyFont="1" applyFill="1" applyBorder="1" applyAlignment="1">
      <alignment horizontal="center" vertical="center" wrapText="1"/>
    </xf>
    <xf numFmtId="3" fontId="13" fillId="6" borderId="16" xfId="0" applyNumberFormat="1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3" fontId="13" fillId="6" borderId="15" xfId="0" applyNumberFormat="1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3" fontId="13" fillId="5" borderId="16" xfId="0" applyNumberFormat="1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5" fillId="12" borderId="17" xfId="0" applyFont="1" applyFill="1" applyBorder="1" applyAlignment="1" applyProtection="1">
      <alignment horizontal="center" vertical="center"/>
      <protection locked="0"/>
    </xf>
    <xf numFmtId="0" fontId="15" fillId="11" borderId="18" xfId="0" applyFont="1" applyFill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177" fontId="0" fillId="0" borderId="0" xfId="0" applyNumberFormat="1" applyFill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176" fontId="0" fillId="0" borderId="0" xfId="0" applyNumberFormat="1" applyFill="1" applyAlignment="1" applyProtection="1">
      <alignment horizontal="center" vertical="center"/>
    </xf>
    <xf numFmtId="2" fontId="0" fillId="0" borderId="0" xfId="0" applyNumberFormat="1" applyFill="1" applyAlignment="1" applyProtection="1">
      <alignment horizontal="center" vertical="center"/>
    </xf>
    <xf numFmtId="2" fontId="0" fillId="0" borderId="0" xfId="0" applyNumberFormat="1" applyFill="1" applyProtection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14" borderId="1" xfId="0" applyFont="1" applyFill="1" applyBorder="1" applyAlignment="1" applyProtection="1">
      <alignment horizontal="left" vertical="center"/>
      <protection locked="0"/>
    </xf>
    <xf numFmtId="0" fontId="18" fillId="0" borderId="20" xfId="0" applyFont="1" applyBorder="1" applyAlignment="1">
      <alignment horizontal="center" vertical="center"/>
    </xf>
    <xf numFmtId="0" fontId="18" fillId="0" borderId="22" xfId="0" applyFont="1" applyBorder="1">
      <alignment vertical="center"/>
    </xf>
    <xf numFmtId="0" fontId="19" fillId="0" borderId="22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0" xfId="0" applyFo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 vertical="center"/>
    </xf>
    <xf numFmtId="0" fontId="22" fillId="16" borderId="1" xfId="0" applyFont="1" applyFill="1" applyBorder="1" applyAlignment="1">
      <alignment horizontal="center" vertical="center"/>
    </xf>
    <xf numFmtId="0" fontId="23" fillId="15" borderId="1" xfId="0" applyFont="1" applyFill="1" applyBorder="1" applyAlignment="1" applyProtection="1">
      <alignment horizontal="center" vertical="center"/>
      <protection locked="0"/>
    </xf>
    <xf numFmtId="0" fontId="23" fillId="16" borderId="1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center" vertical="center"/>
      <protection locked="0"/>
    </xf>
    <xf numFmtId="0" fontId="23" fillId="14" borderId="1" xfId="0" applyFont="1" applyFill="1" applyBorder="1" applyAlignment="1" applyProtection="1">
      <alignment horizontal="right" vertical="center"/>
      <protection locked="0"/>
    </xf>
    <xf numFmtId="0" fontId="23" fillId="16" borderId="1" xfId="0" applyFont="1" applyFill="1" applyBorder="1" applyAlignment="1">
      <alignment horizontal="center" vertical="center"/>
    </xf>
    <xf numFmtId="0" fontId="23" fillId="0" borderId="1" xfId="0" applyFont="1" applyBorder="1" applyAlignment="1" applyProtection="1">
      <alignment horizontal="center" vertical="center"/>
      <protection locked="0"/>
    </xf>
    <xf numFmtId="176" fontId="22" fillId="0" borderId="1" xfId="0" applyNumberFormat="1" applyFont="1" applyBorder="1" applyAlignment="1" applyProtection="1">
      <alignment horizontal="right" vertical="center"/>
      <protection locked="0"/>
    </xf>
    <xf numFmtId="2" fontId="23" fillId="17" borderId="1" xfId="0" applyNumberFormat="1" applyFont="1" applyFill="1" applyBorder="1" applyAlignment="1" applyProtection="1">
      <alignment horizontal="right" vertical="center"/>
      <protection locked="0"/>
    </xf>
    <xf numFmtId="2" fontId="22" fillId="0" borderId="1" xfId="0" applyNumberFormat="1" applyFont="1" applyBorder="1" applyAlignment="1" applyProtection="1">
      <alignment horizontal="right" vertical="center"/>
      <protection locked="0"/>
    </xf>
    <xf numFmtId="2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9" borderId="0" xfId="0" applyFont="1" applyFill="1" applyAlignment="1" applyProtection="1">
      <alignment horizontal="right" vertical="center"/>
    </xf>
    <xf numFmtId="0" fontId="22" fillId="9" borderId="0" xfId="0" applyFont="1" applyFill="1" applyAlignment="1">
      <alignment horizontal="center" vertical="center"/>
    </xf>
    <xf numFmtId="0" fontId="22" fillId="10" borderId="0" xfId="0" applyFont="1" applyFill="1" applyAlignment="1" applyProtection="1">
      <alignment horizontal="center" vertical="center"/>
    </xf>
    <xf numFmtId="0" fontId="22" fillId="8" borderId="0" xfId="0" applyFont="1" applyFill="1" applyAlignment="1">
      <alignment horizontal="center" vertical="center"/>
    </xf>
    <xf numFmtId="2" fontId="22" fillId="9" borderId="0" xfId="0" applyNumberFormat="1" applyFont="1" applyFill="1">
      <alignment vertical="center"/>
    </xf>
    <xf numFmtId="179" fontId="22" fillId="8" borderId="0" xfId="7" applyNumberFormat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5" fillId="0" borderId="0" xfId="0" quotePrefix="1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>
      <alignment vertical="center"/>
    </xf>
    <xf numFmtId="0" fontId="22" fillId="0" borderId="0" xfId="0" applyFont="1" applyAlignment="1">
      <alignment vertical="center"/>
    </xf>
    <xf numFmtId="0" fontId="26" fillId="0" borderId="0" xfId="8" applyFont="1">
      <alignment vertical="center"/>
    </xf>
    <xf numFmtId="0" fontId="27" fillId="0" borderId="0" xfId="0" applyFont="1">
      <alignment vertical="center"/>
    </xf>
    <xf numFmtId="0" fontId="28" fillId="0" borderId="0" xfId="0" quotePrefix="1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vertical="center"/>
    </xf>
    <xf numFmtId="0" fontId="29" fillId="0" borderId="0" xfId="8" applyFont="1">
      <alignment vertical="center"/>
    </xf>
    <xf numFmtId="0" fontId="27" fillId="0" borderId="0" xfId="0" applyFont="1" applyAlignment="1" applyProtection="1">
      <alignment horizontal="right" vertical="center"/>
    </xf>
    <xf numFmtId="0" fontId="27" fillId="0" borderId="0" xfId="0" applyFont="1" applyAlignment="1">
      <alignment horizontal="center" vertical="center"/>
    </xf>
    <xf numFmtId="2" fontId="27" fillId="0" borderId="0" xfId="0" applyNumberFormat="1" applyFont="1">
      <alignment vertical="center"/>
    </xf>
    <xf numFmtId="179" fontId="27" fillId="0" borderId="0" xfId="7" applyNumberFormat="1" applyFont="1" applyAlignment="1">
      <alignment horizontal="center" vertical="center"/>
    </xf>
    <xf numFmtId="9" fontId="27" fillId="0" borderId="0" xfId="7" applyFont="1" applyAlignment="1">
      <alignment horizontal="center" vertical="center"/>
    </xf>
    <xf numFmtId="177" fontId="22" fillId="0" borderId="1" xfId="0" applyNumberFormat="1" applyFont="1" applyBorder="1" applyAlignment="1" applyProtection="1">
      <alignment horizontal="right" vertical="center"/>
      <protection locked="0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0" fillId="0" borderId="1" xfId="5" applyFont="1" applyBorder="1" applyAlignment="1">
      <alignment horizontal="center" vertical="center"/>
    </xf>
    <xf numFmtId="0" fontId="31" fillId="9" borderId="1" xfId="5" applyFont="1" applyFill="1" applyBorder="1" applyAlignment="1">
      <alignment horizontal="center" vertical="center" wrapText="1"/>
    </xf>
    <xf numFmtId="0" fontId="3" fillId="18" borderId="1" xfId="5" applyFont="1" applyFill="1" applyBorder="1" applyAlignment="1">
      <alignment horizontal="center" vertical="center"/>
    </xf>
    <xf numFmtId="0" fontId="31" fillId="18" borderId="1" xfId="5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34" fillId="0" borderId="1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4" fillId="19" borderId="1" xfId="0" applyFont="1" applyFill="1" applyBorder="1" applyAlignment="1">
      <alignment horizontal="center" vertical="center"/>
    </xf>
    <xf numFmtId="2" fontId="0" fillId="2" borderId="0" xfId="0" applyNumberFormat="1" applyFill="1">
      <alignment vertical="center"/>
    </xf>
    <xf numFmtId="0" fontId="27" fillId="0" borderId="1" xfId="0" applyFont="1" applyBorder="1" applyAlignment="1" applyProtection="1">
      <alignment horizontal="right" vertical="center"/>
    </xf>
    <xf numFmtId="0" fontId="37" fillId="5" borderId="27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7" fillId="5" borderId="28" xfId="0" applyFont="1" applyFill="1" applyBorder="1" applyAlignment="1">
      <alignment horizontal="center" vertical="center"/>
    </xf>
    <xf numFmtId="0" fontId="39" fillId="5" borderId="27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28" xfId="0" applyFont="1" applyFill="1" applyBorder="1" applyAlignment="1">
      <alignment horizontal="center" vertical="center"/>
    </xf>
    <xf numFmtId="0" fontId="39" fillId="5" borderId="29" xfId="0" applyFont="1" applyFill="1" applyBorder="1" applyAlignment="1">
      <alignment horizontal="center" vertical="center"/>
    </xf>
    <xf numFmtId="0" fontId="40" fillId="5" borderId="30" xfId="0" applyFont="1" applyFill="1" applyBorder="1" applyAlignment="1">
      <alignment horizontal="center" vertical="center"/>
    </xf>
    <xf numFmtId="0" fontId="40" fillId="5" borderId="31" xfId="0" applyFont="1" applyFill="1" applyBorder="1" applyAlignment="1">
      <alignment horizontal="center" vertical="center"/>
    </xf>
    <xf numFmtId="0" fontId="41" fillId="0" borderId="32" xfId="0" applyFont="1" applyBorder="1" applyAlignment="1">
      <alignment vertical="center"/>
    </xf>
    <xf numFmtId="0" fontId="41" fillId="0" borderId="33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34" xfId="0" applyFont="1" applyBorder="1" applyAlignment="1">
      <alignment vertical="center"/>
    </xf>
    <xf numFmtId="0" fontId="39" fillId="5" borderId="35" xfId="0" applyFont="1" applyFill="1" applyBorder="1" applyAlignment="1">
      <alignment horizontal="center" vertical="center"/>
    </xf>
    <xf numFmtId="0" fontId="40" fillId="5" borderId="36" xfId="0" applyFont="1" applyFill="1" applyBorder="1" applyAlignment="1">
      <alignment horizontal="center" vertical="center"/>
    </xf>
    <xf numFmtId="0" fontId="39" fillId="5" borderId="37" xfId="0" applyFont="1" applyFill="1" applyBorder="1" applyAlignment="1">
      <alignment horizontal="center" vertical="center"/>
    </xf>
    <xf numFmtId="0" fontId="40" fillId="5" borderId="38" xfId="0" applyFont="1" applyFill="1" applyBorder="1" applyAlignment="1">
      <alignment horizontal="center" vertical="center"/>
    </xf>
    <xf numFmtId="0" fontId="40" fillId="5" borderId="39" xfId="0" applyFont="1" applyFill="1" applyBorder="1" applyAlignment="1">
      <alignment horizontal="center" vertical="center"/>
    </xf>
    <xf numFmtId="0" fontId="0" fillId="0" borderId="0" xfId="0" applyAlignment="1"/>
    <xf numFmtId="180" fontId="6" fillId="3" borderId="0" xfId="9" applyNumberFormat="1" applyFont="1" applyFill="1" applyBorder="1" applyAlignment="1" applyProtection="1">
      <alignment horizontal="center" vertical="center" shrinkToFit="1"/>
      <protection locked="0"/>
    </xf>
    <xf numFmtId="181" fontId="6" fillId="3" borderId="0" xfId="9" applyNumberFormat="1" applyFont="1" applyFill="1" applyBorder="1" applyAlignment="1" applyProtection="1">
      <alignment horizontal="center" vertical="center" shrinkToFit="1"/>
      <protection locked="0"/>
    </xf>
    <xf numFmtId="0" fontId="42" fillId="20" borderId="40" xfId="0" applyFont="1" applyFill="1" applyBorder="1" applyAlignment="1">
      <alignment horizontal="center" vertical="center" wrapText="1"/>
    </xf>
    <xf numFmtId="0" fontId="43" fillId="20" borderId="8" xfId="0" applyFont="1" applyFill="1" applyBorder="1" applyAlignment="1">
      <alignment horizontal="center" vertical="center" wrapText="1"/>
    </xf>
    <xf numFmtId="0" fontId="42" fillId="20" borderId="8" xfId="0" applyFont="1" applyFill="1" applyBorder="1" applyAlignment="1">
      <alignment horizontal="center" vertical="center" wrapText="1"/>
    </xf>
    <xf numFmtId="0" fontId="43" fillId="20" borderId="23" xfId="0" applyFont="1" applyFill="1" applyBorder="1" applyAlignment="1">
      <alignment horizontal="center" vertical="center" wrapText="1"/>
    </xf>
    <xf numFmtId="0" fontId="42" fillId="20" borderId="42" xfId="0" applyFont="1" applyFill="1" applyBorder="1" applyAlignment="1">
      <alignment horizontal="center" vertical="center" wrapText="1"/>
    </xf>
    <xf numFmtId="0" fontId="42" fillId="20" borderId="10" xfId="0" applyFont="1" applyFill="1" applyBorder="1" applyAlignment="1">
      <alignment horizontal="center" vertical="center" wrapText="1"/>
    </xf>
    <xf numFmtId="0" fontId="43" fillId="20" borderId="4" xfId="0" applyFont="1" applyFill="1" applyBorder="1" applyAlignment="1">
      <alignment horizontal="center" vertical="center" wrapText="1"/>
    </xf>
    <xf numFmtId="0" fontId="42" fillId="21" borderId="10" xfId="0" applyFont="1" applyFill="1" applyBorder="1" applyAlignment="1">
      <alignment horizontal="center" vertical="center" wrapText="1"/>
    </xf>
    <xf numFmtId="0" fontId="42" fillId="2" borderId="42" xfId="0" applyFont="1" applyFill="1" applyBorder="1" applyAlignment="1">
      <alignment horizontal="center" vertical="center" wrapText="1"/>
    </xf>
    <xf numFmtId="0" fontId="42" fillId="22" borderId="6" xfId="0" applyFont="1" applyFill="1" applyBorder="1" applyAlignment="1">
      <alignment horizontal="center" vertical="center" wrapText="1"/>
    </xf>
    <xf numFmtId="0" fontId="42" fillId="22" borderId="5" xfId="0" applyFont="1" applyFill="1" applyBorder="1" applyAlignment="1">
      <alignment horizontal="center" vertical="center" wrapText="1"/>
    </xf>
    <xf numFmtId="0" fontId="42" fillId="22" borderId="3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14" fillId="5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0" fillId="0" borderId="16" xfId="0" applyBorder="1" applyAlignment="1"/>
    <xf numFmtId="3" fontId="13" fillId="5" borderId="0" xfId="0" applyNumberFormat="1" applyFont="1" applyFill="1" applyBorder="1" applyAlignment="1">
      <alignment horizontal="center" vertical="center" wrapText="1"/>
    </xf>
    <xf numFmtId="3" fontId="13" fillId="6" borderId="0" xfId="0" applyNumberFormat="1" applyFont="1" applyFill="1" applyBorder="1" applyAlignment="1">
      <alignment horizontal="center" vertical="center" wrapText="1"/>
    </xf>
    <xf numFmtId="10" fontId="10" fillId="4" borderId="14" xfId="7" applyNumberFormat="1" applyFont="1" applyFill="1" applyBorder="1" applyAlignment="1">
      <alignment horizontal="center" vertical="center" wrapText="1"/>
    </xf>
    <xf numFmtId="10" fontId="0" fillId="0" borderId="15" xfId="7" applyNumberFormat="1" applyFont="1" applyBorder="1" applyAlignment="1"/>
    <xf numFmtId="10" fontId="0" fillId="0" borderId="16" xfId="7" applyNumberFormat="1" applyFont="1" applyBorder="1" applyAlignment="1"/>
    <xf numFmtId="10" fontId="14" fillId="5" borderId="15" xfId="7" applyNumberFormat="1" applyFont="1" applyFill="1" applyBorder="1" applyAlignment="1">
      <alignment horizontal="center" vertical="center" wrapText="1"/>
    </xf>
    <xf numFmtId="10" fontId="14" fillId="6" borderId="15" xfId="7" applyNumberFormat="1" applyFont="1" applyFill="1" applyBorder="1" applyAlignment="1">
      <alignment horizontal="center" vertical="center" wrapText="1"/>
    </xf>
    <xf numFmtId="10" fontId="14" fillId="5" borderId="16" xfId="7" applyNumberFormat="1" applyFont="1" applyFill="1" applyBorder="1" applyAlignment="1">
      <alignment horizontal="center" vertical="center" wrapText="1"/>
    </xf>
    <xf numFmtId="10" fontId="14" fillId="6" borderId="16" xfId="7" applyNumberFormat="1" applyFont="1" applyFill="1" applyBorder="1" applyAlignment="1">
      <alignment horizontal="center" vertical="center" wrapText="1"/>
    </xf>
    <xf numFmtId="10" fontId="14" fillId="5" borderId="0" xfId="7" applyNumberFormat="1" applyFont="1" applyFill="1" applyBorder="1" applyAlignment="1">
      <alignment horizontal="center" vertical="center" wrapText="1"/>
    </xf>
    <xf numFmtId="10" fontId="14" fillId="6" borderId="0" xfId="7" applyNumberFormat="1" applyFont="1" applyFill="1" applyBorder="1" applyAlignment="1">
      <alignment horizontal="center" vertical="center" wrapText="1"/>
    </xf>
    <xf numFmtId="10" fontId="0" fillId="0" borderId="0" xfId="7" applyNumberFormat="1" applyFont="1" applyAlignment="1"/>
    <xf numFmtId="2" fontId="27" fillId="0" borderId="0" xfId="7" applyNumberFormat="1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0" xfId="0" applyNumberFormat="1" applyFont="1" applyAlignment="1">
      <alignment horizontal="right" vertical="center"/>
    </xf>
    <xf numFmtId="181" fontId="22" fillId="0" borderId="1" xfId="0" applyNumberFormat="1" applyFont="1" applyBorder="1" applyAlignment="1" applyProtection="1">
      <alignment horizontal="right" vertical="center"/>
      <protection locked="0"/>
    </xf>
    <xf numFmtId="0" fontId="23" fillId="25" borderId="1" xfId="0" applyFont="1" applyFill="1" applyBorder="1" applyAlignment="1" applyProtection="1">
      <alignment horizontal="center" vertical="center"/>
      <protection locked="0"/>
    </xf>
    <xf numFmtId="0" fontId="23" fillId="26" borderId="1" xfId="0" applyFont="1" applyFill="1" applyBorder="1" applyAlignment="1" applyProtection="1">
      <alignment horizontal="center" vertical="center"/>
      <protection locked="0"/>
    </xf>
    <xf numFmtId="9" fontId="23" fillId="25" borderId="1" xfId="0" applyNumberFormat="1" applyFont="1" applyFill="1" applyBorder="1" applyAlignment="1" applyProtection="1">
      <alignment horizontal="center" vertical="center"/>
      <protection locked="0"/>
    </xf>
    <xf numFmtId="182" fontId="27" fillId="0" borderId="0" xfId="0" applyNumberFormat="1" applyFont="1">
      <alignment vertical="center"/>
    </xf>
    <xf numFmtId="0" fontId="13" fillId="6" borderId="16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34" fillId="0" borderId="1" xfId="0" applyFont="1" applyBorder="1">
      <alignment vertical="center"/>
    </xf>
    <xf numFmtId="0" fontId="23" fillId="29" borderId="1" xfId="0" applyFont="1" applyFill="1" applyBorder="1" applyAlignment="1">
      <alignment horizontal="left" vertical="center"/>
    </xf>
    <xf numFmtId="0" fontId="8" fillId="0" borderId="0" xfId="8">
      <alignment vertical="center"/>
    </xf>
    <xf numFmtId="10" fontId="3" fillId="18" borderId="1" xfId="5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179" fontId="23" fillId="25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42" fillId="20" borderId="23" xfId="0" applyFont="1" applyFill="1" applyBorder="1" applyAlignment="1">
      <alignment vertical="center" wrapText="1"/>
    </xf>
    <xf numFmtId="0" fontId="42" fillId="20" borderId="41" xfId="0" applyFont="1" applyFill="1" applyBorder="1" applyAlignment="1">
      <alignment vertical="center" wrapText="1"/>
    </xf>
    <xf numFmtId="0" fontId="42" fillId="20" borderId="40" xfId="0" applyFont="1" applyFill="1" applyBorder="1" applyAlignment="1">
      <alignment vertical="center" wrapText="1"/>
    </xf>
    <xf numFmtId="0" fontId="42" fillId="20" borderId="4" xfId="0" applyFont="1" applyFill="1" applyBorder="1" applyAlignment="1">
      <alignment vertical="center" wrapText="1"/>
    </xf>
    <xf numFmtId="0" fontId="42" fillId="20" borderId="43" xfId="0" applyFont="1" applyFill="1" applyBorder="1" applyAlignment="1">
      <alignment vertical="center" wrapText="1"/>
    </xf>
    <xf numFmtId="0" fontId="42" fillId="20" borderId="42" xfId="0" applyFont="1" applyFill="1" applyBorder="1" applyAlignment="1">
      <alignment vertical="center" wrapText="1"/>
    </xf>
    <xf numFmtId="0" fontId="43" fillId="20" borderId="23" xfId="0" applyFont="1" applyFill="1" applyBorder="1" applyAlignment="1">
      <alignment horizontal="center" vertical="center" wrapText="1"/>
    </xf>
    <xf numFmtId="0" fontId="43" fillId="20" borderId="4" xfId="0" applyFont="1" applyFill="1" applyBorder="1" applyAlignment="1">
      <alignment horizontal="center" vertical="center" wrapText="1"/>
    </xf>
    <xf numFmtId="0" fontId="39" fillId="5" borderId="10" xfId="0" applyFont="1" applyFill="1" applyBorder="1" applyAlignment="1">
      <alignment horizontal="center" vertical="center" wrapText="1"/>
    </xf>
    <xf numFmtId="179" fontId="42" fillId="22" borderId="6" xfId="7" applyNumberFormat="1" applyFont="1" applyFill="1" applyBorder="1" applyAlignment="1">
      <alignment horizontal="center" vertical="center" wrapText="1"/>
    </xf>
    <xf numFmtId="179" fontId="42" fillId="22" borderId="5" xfId="7" applyNumberFormat="1" applyFont="1" applyFill="1" applyBorder="1" applyAlignment="1">
      <alignment horizontal="center" vertical="center" wrapText="1"/>
    </xf>
    <xf numFmtId="179" fontId="42" fillId="22" borderId="3" xfId="7" applyNumberFormat="1" applyFont="1" applyFill="1" applyBorder="1" applyAlignment="1">
      <alignment horizontal="center" vertical="center" wrapText="1"/>
    </xf>
    <xf numFmtId="179" fontId="42" fillId="23" borderId="5" xfId="7" applyNumberFormat="1" applyFont="1" applyFill="1" applyBorder="1" applyAlignment="1">
      <alignment horizontal="center" vertical="center" wrapText="1"/>
    </xf>
    <xf numFmtId="179" fontId="0" fillId="0" borderId="0" xfId="7" applyNumberFormat="1" applyFont="1">
      <alignment vertical="center"/>
    </xf>
    <xf numFmtId="2" fontId="27" fillId="0" borderId="0" xfId="0" applyNumberFormat="1" applyFont="1" applyAlignment="1">
      <alignment horizontal="right" vertical="center"/>
    </xf>
    <xf numFmtId="2" fontId="27" fillId="0" borderId="0" xfId="0" applyNumberFormat="1" applyFont="1" applyAlignment="1">
      <alignment horizontal="center" vertical="center"/>
    </xf>
    <xf numFmtId="179" fontId="27" fillId="0" borderId="0" xfId="0" applyNumberFormat="1" applyFont="1" applyAlignment="1">
      <alignment horizontal="center" vertical="center"/>
    </xf>
    <xf numFmtId="182" fontId="27" fillId="0" borderId="0" xfId="0" applyNumberFormat="1" applyFont="1" applyAlignment="1">
      <alignment horizontal="center" vertical="center"/>
    </xf>
    <xf numFmtId="0" fontId="20" fillId="14" borderId="0" xfId="0" applyFont="1" applyFill="1" applyBorder="1" applyAlignment="1" applyProtection="1">
      <alignment horizontal="right" vertical="center"/>
      <protection locked="0"/>
    </xf>
    <xf numFmtId="0" fontId="27" fillId="0" borderId="0" xfId="0" applyFont="1" applyAlignment="1">
      <alignment horizontal="left" vertical="center"/>
    </xf>
    <xf numFmtId="179" fontId="27" fillId="0" borderId="0" xfId="7" applyNumberFormat="1" applyFont="1" applyAlignment="1">
      <alignment horizontal="left" vertical="center"/>
    </xf>
    <xf numFmtId="179" fontId="27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horizontal="left" vertical="center"/>
    </xf>
    <xf numFmtId="176" fontId="27" fillId="0" borderId="0" xfId="0" applyNumberFormat="1" applyFont="1" applyAlignment="1">
      <alignment horizontal="left" vertical="center"/>
    </xf>
    <xf numFmtId="9" fontId="23" fillId="26" borderId="1" xfId="0" applyNumberFormat="1" applyFont="1" applyFill="1" applyBorder="1" applyAlignment="1" applyProtection="1">
      <alignment horizontal="center" vertical="center"/>
      <protection locked="0"/>
    </xf>
    <xf numFmtId="0" fontId="39" fillId="22" borderId="5" xfId="0" applyFont="1" applyFill="1" applyBorder="1" applyAlignment="1">
      <alignment horizontal="center" vertical="center" wrapText="1"/>
    </xf>
    <xf numFmtId="0" fontId="39" fillId="20" borderId="42" xfId="0" applyFont="1" applyFill="1" applyBorder="1" applyAlignment="1">
      <alignment horizontal="center" vertical="center" wrapText="1"/>
    </xf>
    <xf numFmtId="0" fontId="43" fillId="20" borderId="10" xfId="0" applyFont="1" applyFill="1" applyBorder="1" applyAlignment="1">
      <alignment horizontal="center" vertical="center" wrapText="1"/>
    </xf>
    <xf numFmtId="0" fontId="43" fillId="20" borderId="44" xfId="0" applyFont="1" applyFill="1" applyBorder="1" applyAlignment="1">
      <alignment horizontal="center" vertical="center" wrapText="1"/>
    </xf>
    <xf numFmtId="0" fontId="39" fillId="20" borderId="10" xfId="0" applyFont="1" applyFill="1" applyBorder="1" applyAlignment="1">
      <alignment horizontal="center" vertical="center" wrapText="1"/>
    </xf>
    <xf numFmtId="0" fontId="39" fillId="20" borderId="44" xfId="0" applyFont="1" applyFill="1" applyBorder="1" applyAlignment="1">
      <alignment horizontal="center" vertical="center" wrapText="1"/>
    </xf>
    <xf numFmtId="0" fontId="39" fillId="21" borderId="5" xfId="0" applyFont="1" applyFill="1" applyBorder="1" applyAlignment="1">
      <alignment horizontal="center" vertical="center" wrapText="1"/>
    </xf>
    <xf numFmtId="0" fontId="39" fillId="21" borderId="42" xfId="0" applyFont="1" applyFill="1" applyBorder="1" applyAlignment="1">
      <alignment horizontal="center" vertical="center" wrapText="1"/>
    </xf>
    <xf numFmtId="0" fontId="39" fillId="21" borderId="10" xfId="0" applyFont="1" applyFill="1" applyBorder="1" applyAlignment="1">
      <alignment horizontal="center" vertical="center" wrapText="1"/>
    </xf>
    <xf numFmtId="0" fontId="39" fillId="21" borderId="44" xfId="0" applyFont="1" applyFill="1" applyBorder="1" applyAlignment="1">
      <alignment horizontal="center" vertical="center" wrapText="1"/>
    </xf>
    <xf numFmtId="0" fontId="39" fillId="23" borderId="5" xfId="0" applyFont="1" applyFill="1" applyBorder="1" applyAlignment="1">
      <alignment horizontal="center" vertical="center" wrapText="1"/>
    </xf>
    <xf numFmtId="0" fontId="39" fillId="2" borderId="42" xfId="0" applyFont="1" applyFill="1" applyBorder="1" applyAlignment="1">
      <alignment horizontal="center" vertical="center" wrapText="1"/>
    </xf>
    <xf numFmtId="0" fontId="39" fillId="5" borderId="44" xfId="0" applyFont="1" applyFill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10" fontId="0" fillId="0" borderId="0" xfId="7" applyNumberFormat="1" applyFont="1">
      <alignment vertical="center"/>
    </xf>
    <xf numFmtId="0" fontId="22" fillId="7" borderId="0" xfId="0" applyFont="1" applyFill="1" applyAlignment="1">
      <alignment horizontal="center" vertical="center"/>
    </xf>
    <xf numFmtId="0" fontId="46" fillId="0" borderId="46" xfId="0" applyFont="1" applyBorder="1" applyAlignment="1">
      <alignment horizontal="center" vertical="center"/>
    </xf>
    <xf numFmtId="2" fontId="46" fillId="0" borderId="0" xfId="0" applyNumberFormat="1" applyFont="1" applyAlignment="1">
      <alignment horizontal="center" vertical="center"/>
    </xf>
    <xf numFmtId="2" fontId="46" fillId="30" borderId="0" xfId="0" applyNumberFormat="1" applyFont="1" applyFill="1" applyAlignment="1">
      <alignment horizontal="center" vertical="center"/>
    </xf>
    <xf numFmtId="0" fontId="46" fillId="30" borderId="46" xfId="0" applyFont="1" applyFill="1" applyBorder="1" applyAlignment="1">
      <alignment horizontal="center" vertical="center"/>
    </xf>
    <xf numFmtId="183" fontId="46" fillId="30" borderId="0" xfId="0" applyNumberFormat="1" applyFont="1" applyFill="1">
      <alignment vertical="center"/>
    </xf>
    <xf numFmtId="10" fontId="46" fillId="0" borderId="0" xfId="7" applyNumberFormat="1" applyFont="1">
      <alignment vertical="center"/>
    </xf>
    <xf numFmtId="183" fontId="46" fillId="9" borderId="0" xfId="0" applyNumberFormat="1" applyFont="1" applyFill="1">
      <alignment vertical="center"/>
    </xf>
    <xf numFmtId="10" fontId="46" fillId="30" borderId="0" xfId="7" applyNumberFormat="1" applyFont="1" applyFill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177" fontId="10" fillId="4" borderId="14" xfId="0" applyNumberFormat="1" applyFont="1" applyFill="1" applyBorder="1" applyAlignment="1">
      <alignment horizontal="center" vertical="center" wrapText="1"/>
    </xf>
    <xf numFmtId="177" fontId="14" fillId="5" borderId="15" xfId="0" applyNumberFormat="1" applyFont="1" applyFill="1" applyBorder="1" applyAlignment="1">
      <alignment horizontal="center" vertical="center" wrapText="1"/>
    </xf>
    <xf numFmtId="177" fontId="14" fillId="6" borderId="16" xfId="0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0" fontId="0" fillId="0" borderId="0" xfId="0" applyNumberFormat="1">
      <alignment vertical="center"/>
    </xf>
    <xf numFmtId="184" fontId="0" fillId="0" borderId="0" xfId="0" applyNumberFormat="1">
      <alignment vertical="center"/>
    </xf>
    <xf numFmtId="179" fontId="14" fillId="5" borderId="15" xfId="0" applyNumberFormat="1" applyFont="1" applyFill="1" applyBorder="1" applyAlignment="1">
      <alignment horizontal="center" vertical="center" wrapText="1"/>
    </xf>
    <xf numFmtId="179" fontId="14" fillId="6" borderId="16" xfId="0" applyNumberFormat="1" applyFont="1" applyFill="1" applyBorder="1" applyAlignment="1">
      <alignment horizontal="center" vertical="center" wrapText="1"/>
    </xf>
    <xf numFmtId="177" fontId="27" fillId="0" borderId="0" xfId="0" applyNumberFormat="1" applyFont="1">
      <alignment vertical="center"/>
    </xf>
    <xf numFmtId="185" fontId="22" fillId="8" borderId="0" xfId="0" applyNumberFormat="1" applyFont="1" applyFill="1" applyAlignment="1">
      <alignment horizontal="center" vertical="center"/>
    </xf>
    <xf numFmtId="185" fontId="22" fillId="7" borderId="0" xfId="0" applyNumberFormat="1" applyFont="1" applyFill="1" applyAlignment="1">
      <alignment horizontal="center" vertical="center"/>
    </xf>
    <xf numFmtId="184" fontId="22" fillId="8" borderId="0" xfId="7" applyNumberFormat="1" applyFont="1" applyFill="1" applyAlignment="1">
      <alignment horizontal="center" vertical="center"/>
    </xf>
    <xf numFmtId="184" fontId="22" fillId="7" borderId="0" xfId="0" applyNumberFormat="1" applyFont="1" applyFill="1" applyAlignment="1">
      <alignment horizontal="center" vertical="center"/>
    </xf>
    <xf numFmtId="177" fontId="14" fillId="6" borderId="15" xfId="0" applyNumberFormat="1" applyFont="1" applyFill="1" applyBorder="1" applyAlignment="1">
      <alignment horizontal="center" vertical="center" wrapText="1"/>
    </xf>
    <xf numFmtId="177" fontId="14" fillId="5" borderId="16" xfId="0" applyNumberFormat="1" applyFont="1" applyFill="1" applyBorder="1" applyAlignment="1">
      <alignment horizontal="center" vertical="center" wrapText="1"/>
    </xf>
    <xf numFmtId="177" fontId="0" fillId="0" borderId="15" xfId="0" applyNumberFormat="1" applyBorder="1">
      <alignment vertical="center"/>
    </xf>
    <xf numFmtId="179" fontId="14" fillId="6" borderId="15" xfId="0" applyNumberFormat="1" applyFont="1" applyFill="1" applyBorder="1" applyAlignment="1">
      <alignment horizontal="center" vertical="center" wrapText="1"/>
    </xf>
    <xf numFmtId="179" fontId="14" fillId="5" borderId="16" xfId="0" applyNumberFormat="1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right" vertical="center"/>
    </xf>
    <xf numFmtId="0" fontId="23" fillId="27" borderId="1" xfId="0" applyFont="1" applyFill="1" applyBorder="1" applyAlignment="1">
      <alignment horizontal="right" vertical="center"/>
    </xf>
    <xf numFmtId="0" fontId="23" fillId="25" borderId="1" xfId="0" applyFont="1" applyFill="1" applyBorder="1" applyAlignment="1" applyProtection="1">
      <alignment horizontal="right" vertical="center"/>
      <protection locked="0"/>
    </xf>
    <xf numFmtId="0" fontId="23" fillId="26" borderId="1" xfId="0" applyFont="1" applyFill="1" applyBorder="1" applyAlignment="1" applyProtection="1">
      <alignment horizontal="right" vertical="center"/>
      <protection locked="0"/>
    </xf>
    <xf numFmtId="0" fontId="23" fillId="24" borderId="1" xfId="0" applyFont="1" applyFill="1" applyBorder="1" applyAlignment="1" applyProtection="1">
      <alignment horizontal="right" vertical="center"/>
      <protection locked="0"/>
    </xf>
    <xf numFmtId="176" fontId="23" fillId="27" borderId="1" xfId="0" applyNumberFormat="1" applyFont="1" applyFill="1" applyBorder="1" applyAlignment="1">
      <alignment horizontal="right" vertical="center"/>
    </xf>
    <xf numFmtId="9" fontId="23" fillId="25" borderId="1" xfId="0" applyNumberFormat="1" applyFont="1" applyFill="1" applyBorder="1" applyAlignment="1" applyProtection="1">
      <alignment horizontal="right" vertical="center"/>
      <protection locked="0"/>
    </xf>
    <xf numFmtId="10" fontId="23" fillId="25" borderId="1" xfId="7" applyNumberFormat="1" applyFont="1" applyFill="1" applyBorder="1" applyAlignment="1" applyProtection="1">
      <alignment horizontal="right" vertical="center"/>
      <protection locked="0"/>
    </xf>
    <xf numFmtId="9" fontId="23" fillId="26" borderId="1" xfId="0" applyNumberFormat="1" applyFont="1" applyFill="1" applyBorder="1" applyAlignment="1" applyProtection="1">
      <alignment horizontal="right" vertical="center"/>
      <protection locked="0"/>
    </xf>
    <xf numFmtId="177" fontId="23" fillId="27" borderId="1" xfId="0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10" fontId="23" fillId="25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1" xfId="0" applyFont="1" applyBorder="1" applyAlignment="1">
      <alignment horizontal="left" vertical="center"/>
    </xf>
    <xf numFmtId="0" fontId="21" fillId="13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/>
    </xf>
    <xf numFmtId="0" fontId="24" fillId="28" borderId="6" xfId="0" applyFont="1" applyFill="1" applyBorder="1" applyAlignment="1">
      <alignment horizontal="center" vertical="center"/>
    </xf>
    <xf numFmtId="0" fontId="24" fillId="28" borderId="7" xfId="0" applyFont="1" applyFill="1" applyBorder="1" applyAlignment="1">
      <alignment horizontal="center" vertical="center"/>
    </xf>
    <xf numFmtId="0" fontId="24" fillId="28" borderId="8" xfId="0" applyFont="1" applyFill="1" applyBorder="1" applyAlignment="1">
      <alignment horizontal="center" vertical="center"/>
    </xf>
    <xf numFmtId="0" fontId="24" fillId="28" borderId="5" xfId="0" applyFont="1" applyFill="1" applyBorder="1" applyAlignment="1">
      <alignment horizontal="center" vertical="center"/>
    </xf>
    <xf numFmtId="0" fontId="24" fillId="28" borderId="9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47" xfId="0" applyFont="1" applyFill="1" applyBorder="1" applyAlignment="1">
      <alignment horizontal="right" vertical="center"/>
    </xf>
    <xf numFmtId="0" fontId="42" fillId="20" borderId="40" xfId="0" applyFont="1" applyFill="1" applyBorder="1" applyAlignment="1">
      <alignment horizontal="center" vertical="center" wrapText="1"/>
    </xf>
    <xf numFmtId="0" fontId="42" fillId="20" borderId="42" xfId="0" applyFont="1" applyFill="1" applyBorder="1" applyAlignment="1">
      <alignment horizontal="center" vertical="center" wrapText="1"/>
    </xf>
    <xf numFmtId="0" fontId="43" fillId="20" borderId="23" xfId="0" applyFont="1" applyFill="1" applyBorder="1" applyAlignment="1">
      <alignment horizontal="center" vertical="center" wrapText="1"/>
    </xf>
    <xf numFmtId="0" fontId="43" fillId="20" borderId="4" xfId="0" applyFont="1" applyFill="1" applyBorder="1" applyAlignment="1">
      <alignment horizontal="center" vertical="center" wrapText="1"/>
    </xf>
    <xf numFmtId="0" fontId="43" fillId="20" borderId="41" xfId="0" applyFont="1" applyFill="1" applyBorder="1" applyAlignment="1">
      <alignment horizontal="center" vertical="center" wrapText="1"/>
    </xf>
    <xf numFmtId="0" fontId="43" fillId="20" borderId="43" xfId="0" applyFont="1" applyFill="1" applyBorder="1" applyAlignment="1">
      <alignment horizontal="center" vertical="center" wrapText="1"/>
    </xf>
    <xf numFmtId="0" fontId="43" fillId="20" borderId="40" xfId="0" applyFont="1" applyFill="1" applyBorder="1" applyAlignment="1">
      <alignment horizontal="center" vertical="center" wrapText="1"/>
    </xf>
    <xf numFmtId="0" fontId="43" fillId="20" borderId="42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37" fillId="5" borderId="24" xfId="0" applyFont="1" applyFill="1" applyBorder="1" applyAlignment="1">
      <alignment horizontal="center" vertical="center"/>
    </xf>
    <xf numFmtId="0" fontId="37" fillId="5" borderId="25" xfId="0" applyFont="1" applyFill="1" applyBorder="1" applyAlignment="1">
      <alignment horizontal="center" vertical="center"/>
    </xf>
    <xf numFmtId="0" fontId="37" fillId="5" borderId="26" xfId="0" applyFont="1" applyFill="1" applyBorder="1" applyAlignment="1">
      <alignment horizontal="center" vertical="center"/>
    </xf>
    <xf numFmtId="0" fontId="39" fillId="5" borderId="35" xfId="0" applyFont="1" applyFill="1" applyBorder="1" applyAlignment="1">
      <alignment horizontal="center" vertical="center"/>
    </xf>
    <xf numFmtId="0" fontId="39" fillId="5" borderId="36" xfId="0" applyFont="1" applyFill="1" applyBorder="1" applyAlignment="1">
      <alignment horizontal="center" vertical="center"/>
    </xf>
  </cellXfs>
  <cellStyles count="10">
    <cellStyle name="백분율" xfId="7" builtinId="5"/>
    <cellStyle name="표준" xfId="0" builtinId="0"/>
    <cellStyle name="표준 2" xfId="2"/>
    <cellStyle name="표준 2 2" xfId="3"/>
    <cellStyle name="표준 252" xfId="4"/>
    <cellStyle name="표준 3" xfId="5"/>
    <cellStyle name="표준 3 2" xfId="9"/>
    <cellStyle name="표준 4" xfId="1"/>
    <cellStyle name="표준 5" xfId="6"/>
    <cellStyle name="하이퍼링크" xfId="8" builtinId="8"/>
  </cellStyles>
  <dxfs count="0"/>
  <tableStyles count="0" defaultTableStyle="TableStyleMedium2" defaultPivotStyle="PivotStyleLight16"/>
  <colors>
    <mruColors>
      <color rgb="FFCC99FF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외대식.madebyfreeodd!$C$3" fmlaRange="외대식.madebyfreeodd!$B$17:$B$26" noThreeD="1" sel="3" val="0"/>
</file>

<file path=xl/ctrlProps/ctrlProp2.xml><?xml version="1.0" encoding="utf-8"?>
<formControlPr xmlns="http://schemas.microsoft.com/office/spreadsheetml/2009/9/main" objectType="Drop" dropStyle="combo" dx="16" fmlaLink="외대식.madebyfreeodd!$D$3" fmlaRange="외대식.madebyfreeodd!$B$17:$B$26" noThreeD="1" sel="10" val="2"/>
</file>

<file path=xl/ctrlProps/ctrlProp3.xml><?xml version="1.0" encoding="utf-8"?>
<formControlPr xmlns="http://schemas.microsoft.com/office/spreadsheetml/2009/9/main" objectType="Drop" dropStyle="combo" dx="16" fmlaLink="외대식.madebyfreeodd!$E$3" fmlaRange="외대식.madebyfreeodd!$B$29:$B$37" noThreeD="1" sel="8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4</xdr:row>
          <xdr:rowOff>9525</xdr:rowOff>
        </xdr:from>
        <xdr:to>
          <xdr:col>5</xdr:col>
          <xdr:colOff>628650</xdr:colOff>
          <xdr:row>4</xdr:row>
          <xdr:rowOff>190500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4</xdr:row>
          <xdr:rowOff>9525</xdr:rowOff>
        </xdr:from>
        <xdr:to>
          <xdr:col>6</xdr:col>
          <xdr:colOff>609600</xdr:colOff>
          <xdr:row>4</xdr:row>
          <xdr:rowOff>190500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</xdr:row>
          <xdr:rowOff>19050</xdr:rowOff>
        </xdr:from>
        <xdr:to>
          <xdr:col>7</xdr:col>
          <xdr:colOff>609600</xdr:colOff>
          <xdr:row>4</xdr:row>
          <xdr:rowOff>200025</xdr:rowOff>
        </xdr:to>
        <xdr:sp macro="" textlink="">
          <xdr:nvSpPr>
            <xdr:cNvPr id="11267" name="Drop Down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faitcalc.orbi.kr/apply/1412/kaleidoscop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0"/>
  <sheetViews>
    <sheetView showGridLines="0" workbookViewId="0">
      <selection activeCell="E3" sqref="E3:M5"/>
    </sheetView>
  </sheetViews>
  <sheetFormatPr defaultRowHeight="16.5"/>
  <cols>
    <col min="2" max="2" width="15.125" customWidth="1"/>
    <col min="3" max="3" width="13.375" customWidth="1"/>
    <col min="6" max="6" width="9" customWidth="1"/>
    <col min="7" max="7" width="12.375" customWidth="1"/>
    <col min="11" max="11" width="9" customWidth="1"/>
    <col min="12" max="12" width="12" customWidth="1"/>
  </cols>
  <sheetData>
    <row r="3" spans="2:16" ht="16.5" customHeight="1">
      <c r="E3" s="261" t="s">
        <v>1622</v>
      </c>
      <c r="F3" s="261"/>
      <c r="G3" s="261"/>
      <c r="H3" s="261"/>
      <c r="I3" s="261"/>
      <c r="J3" s="261"/>
      <c r="K3" s="261"/>
      <c r="L3" s="261"/>
      <c r="M3" s="261"/>
    </row>
    <row r="4" spans="2:16" ht="16.5" customHeight="1">
      <c r="E4" s="261"/>
      <c r="F4" s="261"/>
      <c r="G4" s="261"/>
      <c r="H4" s="261"/>
      <c r="I4" s="261"/>
      <c r="J4" s="261"/>
      <c r="K4" s="261"/>
      <c r="L4" s="261"/>
      <c r="M4" s="261"/>
    </row>
    <row r="5" spans="2:16" ht="16.5" customHeight="1">
      <c r="E5" s="261"/>
      <c r="F5" s="261"/>
      <c r="G5" s="261"/>
      <c r="H5" s="261"/>
      <c r="I5" s="261"/>
      <c r="J5" s="261"/>
      <c r="K5" s="261"/>
      <c r="L5" s="261"/>
      <c r="M5" s="261"/>
    </row>
    <row r="7" spans="2:16" ht="17.25" thickBot="1">
      <c r="B7" s="43" t="s">
        <v>23</v>
      </c>
      <c r="C7" s="43" t="s">
        <v>123</v>
      </c>
      <c r="D7" s="43" t="s">
        <v>132</v>
      </c>
    </row>
    <row r="8" spans="2:16" ht="17.25" thickBot="1">
      <c r="B8" s="43" t="s">
        <v>1</v>
      </c>
      <c r="C8" s="43" t="s">
        <v>124</v>
      </c>
      <c r="D8" s="43" t="s">
        <v>18</v>
      </c>
      <c r="G8" s="44" t="s">
        <v>120</v>
      </c>
      <c r="H8" s="45" t="s">
        <v>122</v>
      </c>
      <c r="I8" s="45"/>
      <c r="J8" s="45" t="s">
        <v>121</v>
      </c>
      <c r="K8" s="46" t="s">
        <v>150</v>
      </c>
      <c r="L8" s="47"/>
      <c r="M8" s="48"/>
      <c r="N8" s="48"/>
      <c r="O8" s="48"/>
      <c r="P8" s="48"/>
    </row>
    <row r="9" spans="2:16" ht="16.5" customHeight="1">
      <c r="B9" s="43" t="s">
        <v>3</v>
      </c>
      <c r="C9" s="43" t="s">
        <v>124</v>
      </c>
      <c r="D9" s="43" t="s">
        <v>18</v>
      </c>
      <c r="E9" s="41"/>
      <c r="F9" s="42"/>
      <c r="G9" s="49"/>
      <c r="H9" s="49"/>
      <c r="I9" s="49"/>
      <c r="J9" s="49"/>
      <c r="K9" s="48"/>
      <c r="L9" s="48"/>
      <c r="M9" s="48"/>
      <c r="N9" s="48"/>
      <c r="O9" s="48"/>
      <c r="P9" s="48"/>
    </row>
    <row r="10" spans="2:16">
      <c r="B10" s="43" t="s">
        <v>45</v>
      </c>
      <c r="C10" s="43" t="s">
        <v>125</v>
      </c>
      <c r="D10" s="43" t="s">
        <v>18</v>
      </c>
      <c r="E10" s="42"/>
      <c r="F10" s="42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2:16">
      <c r="B11" s="43" t="s">
        <v>51</v>
      </c>
      <c r="C11" s="43" t="s">
        <v>124</v>
      </c>
      <c r="D11" s="43" t="s">
        <v>18</v>
      </c>
      <c r="G11" s="50" t="s">
        <v>159</v>
      </c>
      <c r="H11" s="48"/>
      <c r="I11" s="48" t="s">
        <v>160</v>
      </c>
      <c r="J11" s="48"/>
      <c r="K11" s="48"/>
      <c r="L11" s="48"/>
      <c r="M11" s="48"/>
      <c r="N11" s="48"/>
      <c r="O11" s="48"/>
      <c r="P11" s="48"/>
    </row>
    <row r="12" spans="2:16">
      <c r="B12" s="43" t="s">
        <v>52</v>
      </c>
      <c r="C12" s="43" t="s">
        <v>126</v>
      </c>
      <c r="D12" s="43" t="s">
        <v>18</v>
      </c>
      <c r="G12" s="48"/>
      <c r="H12" s="48"/>
      <c r="I12" s="48" t="s">
        <v>163</v>
      </c>
      <c r="J12" s="48"/>
      <c r="K12" s="48"/>
      <c r="L12" s="48"/>
      <c r="M12" s="48"/>
      <c r="N12" s="48"/>
      <c r="O12" s="48"/>
      <c r="P12" s="48"/>
    </row>
    <row r="13" spans="2:16">
      <c r="B13" s="43" t="s">
        <v>8</v>
      </c>
      <c r="C13" s="43" t="s">
        <v>127</v>
      </c>
      <c r="D13" s="43" t="s">
        <v>18</v>
      </c>
      <c r="G13" s="48"/>
      <c r="H13" s="48"/>
      <c r="I13" s="48" t="s">
        <v>161</v>
      </c>
      <c r="J13" s="48"/>
      <c r="K13" s="48"/>
      <c r="L13" s="48"/>
      <c r="M13" s="48"/>
      <c r="N13" s="48"/>
      <c r="O13" s="48"/>
      <c r="P13" s="48"/>
    </row>
    <row r="14" spans="2:16">
      <c r="B14" s="43" t="s">
        <v>9</v>
      </c>
      <c r="C14" s="43" t="s">
        <v>128</v>
      </c>
      <c r="D14" s="43" t="s">
        <v>18</v>
      </c>
      <c r="G14" s="48"/>
      <c r="H14" s="48"/>
      <c r="I14" s="48" t="s">
        <v>162</v>
      </c>
      <c r="J14" s="48"/>
      <c r="K14" s="48"/>
      <c r="L14" s="48"/>
      <c r="M14" s="48"/>
      <c r="N14" s="48"/>
      <c r="O14" s="48"/>
      <c r="P14" s="48"/>
    </row>
    <row r="15" spans="2:16">
      <c r="B15" s="43" t="s">
        <v>50</v>
      </c>
      <c r="C15" s="43" t="s">
        <v>129</v>
      </c>
      <c r="D15" s="43" t="s">
        <v>18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</row>
    <row r="16" spans="2:16">
      <c r="B16" s="43" t="s">
        <v>53</v>
      </c>
      <c r="C16" s="43" t="s">
        <v>130</v>
      </c>
      <c r="D16" s="43" t="s">
        <v>18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2:16">
      <c r="B17" s="43" t="s">
        <v>56</v>
      </c>
      <c r="C17" s="43" t="s">
        <v>131</v>
      </c>
      <c r="D17" s="43" t="s">
        <v>18</v>
      </c>
      <c r="G17" s="196" t="s">
        <v>149</v>
      </c>
      <c r="H17" s="262" t="s">
        <v>151</v>
      </c>
      <c r="I17" s="262"/>
      <c r="J17" s="262"/>
      <c r="K17" s="262"/>
      <c r="L17" s="262"/>
      <c r="M17" s="262"/>
      <c r="N17" s="48"/>
      <c r="O17" s="48"/>
      <c r="P17" s="48"/>
    </row>
    <row r="18" spans="2:16">
      <c r="B18" s="43" t="s">
        <v>55</v>
      </c>
      <c r="C18" s="43" t="s">
        <v>131</v>
      </c>
      <c r="D18" s="43" t="s">
        <v>18</v>
      </c>
      <c r="G18" s="196" t="s">
        <v>164</v>
      </c>
      <c r="H18" s="260" t="s">
        <v>152</v>
      </c>
      <c r="I18" s="260"/>
      <c r="J18" s="260"/>
      <c r="K18" s="260"/>
      <c r="L18" s="260"/>
      <c r="M18" s="260"/>
      <c r="N18" s="48"/>
      <c r="O18" s="48"/>
      <c r="P18" s="48"/>
    </row>
    <row r="19" spans="2:16">
      <c r="B19" s="43" t="s">
        <v>11</v>
      </c>
      <c r="C19" s="43" t="s">
        <v>124</v>
      </c>
      <c r="D19" s="43" t="s">
        <v>18</v>
      </c>
      <c r="G19" s="196" t="s">
        <v>165</v>
      </c>
      <c r="H19" s="260" t="s">
        <v>166</v>
      </c>
      <c r="I19" s="260"/>
      <c r="J19" s="260"/>
      <c r="K19" s="260"/>
      <c r="L19" s="260"/>
      <c r="M19" s="260"/>
    </row>
    <row r="20" spans="2:16">
      <c r="B20" s="43" t="s">
        <v>58</v>
      </c>
      <c r="C20" s="43" t="s">
        <v>14</v>
      </c>
      <c r="D20" s="43" t="s">
        <v>133</v>
      </c>
      <c r="G20" s="196" t="s">
        <v>185</v>
      </c>
      <c r="H20" s="260" t="s">
        <v>186</v>
      </c>
      <c r="I20" s="260"/>
      <c r="J20" s="260"/>
      <c r="K20" s="260"/>
      <c r="L20" s="260"/>
      <c r="M20" s="260"/>
    </row>
    <row r="21" spans="2:16">
      <c r="B21" s="43" t="s">
        <v>57</v>
      </c>
      <c r="C21" s="43" t="s">
        <v>131</v>
      </c>
      <c r="D21" s="43" t="s">
        <v>18</v>
      </c>
      <c r="G21" s="196" t="s">
        <v>188</v>
      </c>
      <c r="H21" s="260" t="s">
        <v>193</v>
      </c>
      <c r="I21" s="260"/>
      <c r="J21" s="260"/>
      <c r="K21" s="260"/>
      <c r="L21" s="260"/>
      <c r="M21" s="260"/>
    </row>
    <row r="22" spans="2:16">
      <c r="B22" s="43" t="s">
        <v>19</v>
      </c>
      <c r="C22" s="43" t="s">
        <v>13</v>
      </c>
      <c r="D22" s="43" t="s">
        <v>18</v>
      </c>
      <c r="G22" s="196" t="s">
        <v>197</v>
      </c>
      <c r="H22" s="260" t="s">
        <v>198</v>
      </c>
      <c r="I22" s="260"/>
      <c r="J22" s="260"/>
      <c r="K22" s="260"/>
      <c r="L22" s="260"/>
      <c r="M22" s="260"/>
    </row>
    <row r="23" spans="2:16">
      <c r="B23" s="43" t="s">
        <v>175</v>
      </c>
      <c r="C23" s="43" t="s">
        <v>14</v>
      </c>
      <c r="D23" s="43" t="s">
        <v>176</v>
      </c>
      <c r="G23" s="196" t="s">
        <v>218</v>
      </c>
      <c r="H23" s="260" t="s">
        <v>261</v>
      </c>
      <c r="I23" s="260"/>
      <c r="J23" s="260"/>
      <c r="K23" s="260"/>
      <c r="L23" s="260"/>
      <c r="M23" s="260"/>
    </row>
    <row r="24" spans="2:16">
      <c r="B24" s="43" t="s">
        <v>177</v>
      </c>
      <c r="C24" s="43" t="s">
        <v>178</v>
      </c>
      <c r="D24" s="43" t="s">
        <v>179</v>
      </c>
      <c r="G24" s="196" t="s">
        <v>271</v>
      </c>
      <c r="H24" s="260" t="s">
        <v>272</v>
      </c>
      <c r="I24" s="260"/>
      <c r="J24" s="260"/>
      <c r="K24" s="260"/>
      <c r="L24" s="260"/>
      <c r="M24" s="260"/>
    </row>
    <row r="25" spans="2:16">
      <c r="B25" s="43" t="s">
        <v>180</v>
      </c>
      <c r="C25" s="43" t="s">
        <v>14</v>
      </c>
      <c r="D25" s="43" t="s">
        <v>16</v>
      </c>
      <c r="G25" s="196" t="s">
        <v>273</v>
      </c>
      <c r="H25" s="260" t="s">
        <v>276</v>
      </c>
      <c r="I25" s="260"/>
      <c r="J25" s="260"/>
      <c r="K25" s="260"/>
      <c r="L25" s="260"/>
      <c r="M25" s="260"/>
    </row>
    <row r="26" spans="2:16">
      <c r="G26" s="196" t="s">
        <v>1518</v>
      </c>
      <c r="H26" s="260" t="s">
        <v>1517</v>
      </c>
      <c r="I26" s="260"/>
      <c r="J26" s="260"/>
      <c r="K26" s="260"/>
      <c r="L26" s="260"/>
      <c r="M26" s="260"/>
    </row>
    <row r="27" spans="2:16">
      <c r="G27" s="196" t="s">
        <v>1589</v>
      </c>
      <c r="H27" s="260" t="s">
        <v>1590</v>
      </c>
      <c r="I27" s="260"/>
      <c r="J27" s="260"/>
      <c r="K27" s="260"/>
      <c r="L27" s="260"/>
      <c r="M27" s="260"/>
    </row>
    <row r="28" spans="2:16">
      <c r="G28" s="196" t="s">
        <v>1595</v>
      </c>
      <c r="H28" s="260" t="s">
        <v>1596</v>
      </c>
      <c r="I28" s="260"/>
      <c r="J28" s="260"/>
      <c r="K28" s="260"/>
      <c r="L28" s="260"/>
      <c r="M28" s="260"/>
    </row>
    <row r="29" spans="2:16">
      <c r="G29" s="196" t="s">
        <v>1597</v>
      </c>
      <c r="H29" s="260" t="s">
        <v>1619</v>
      </c>
      <c r="I29" s="260"/>
      <c r="J29" s="260"/>
      <c r="K29" s="260"/>
      <c r="L29" s="260"/>
      <c r="M29" s="260"/>
    </row>
    <row r="30" spans="2:16">
      <c r="G30" s="196" t="s">
        <v>1620</v>
      </c>
      <c r="H30" s="260" t="s">
        <v>1621</v>
      </c>
      <c r="I30" s="260"/>
      <c r="J30" s="260"/>
      <c r="K30" s="260"/>
      <c r="L30" s="260"/>
      <c r="M30" s="260"/>
    </row>
  </sheetData>
  <sheetProtection algorithmName="SHA-512" hashValue="1IItTxEaPqe2nycZc4mABQI+JxPjXajpN39YUB1BzVhwU5rrbylU7ay1kL/5wO1oljcocf1Y7kRZ8ffsNhsQ1A==" saltValue="bLu6dIuSpZjDlruKiGKaqA==" spinCount="100000" sheet="1" objects="1" scenarios="1" selectLockedCells="1" selectUnlockedCells="1"/>
  <mergeCells count="15">
    <mergeCell ref="H30:M30"/>
    <mergeCell ref="H29:M29"/>
    <mergeCell ref="H23:M23"/>
    <mergeCell ref="E3:M5"/>
    <mergeCell ref="H22:M22"/>
    <mergeCell ref="H21:M21"/>
    <mergeCell ref="H18:M18"/>
    <mergeCell ref="H17:M17"/>
    <mergeCell ref="H19:M19"/>
    <mergeCell ref="H20:M20"/>
    <mergeCell ref="H28:M28"/>
    <mergeCell ref="H27:M27"/>
    <mergeCell ref="H26:M26"/>
    <mergeCell ref="H25:M25"/>
    <mergeCell ref="H24:M2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2:Q32"/>
  <sheetViews>
    <sheetView showGridLines="0" topLeftCell="C1" zoomScaleNormal="100" workbookViewId="0">
      <selection activeCell="I17" sqref="I17"/>
    </sheetView>
  </sheetViews>
  <sheetFormatPr defaultRowHeight="13.5"/>
  <cols>
    <col min="1" max="2" width="9" style="81"/>
    <col min="3" max="3" width="21.5" style="81" customWidth="1"/>
    <col min="4" max="5" width="9" style="81"/>
    <col min="6" max="6" width="11.375" style="81" customWidth="1"/>
    <col min="7" max="7" width="9" style="81"/>
    <col min="8" max="8" width="9" style="81" customWidth="1"/>
    <col min="9" max="9" width="43.375" style="81" customWidth="1"/>
    <col min="10" max="11" width="9" style="81"/>
    <col min="12" max="12" width="12.375" style="81" customWidth="1"/>
    <col min="13" max="16384" width="9" style="81"/>
  </cols>
  <sheetData>
    <row r="2" spans="3:17">
      <c r="F2" s="82" t="s">
        <v>134</v>
      </c>
      <c r="G2" s="83"/>
      <c r="H2" s="83"/>
      <c r="I2" s="83"/>
      <c r="J2" s="83"/>
      <c r="K2" s="83"/>
      <c r="L2" s="83"/>
      <c r="M2" s="83"/>
      <c r="N2" s="83"/>
      <c r="O2" s="84"/>
      <c r="P2" s="84"/>
    </row>
    <row r="3" spans="3:17" ht="16.5">
      <c r="F3" s="85"/>
      <c r="G3" s="85"/>
      <c r="H3" s="85"/>
      <c r="I3" s="85"/>
      <c r="J3" s="168" t="s">
        <v>1580</v>
      </c>
      <c r="K3" s="85"/>
      <c r="L3" s="85"/>
      <c r="M3" s="85"/>
      <c r="N3" s="85"/>
    </row>
    <row r="4" spans="3:17">
      <c r="D4" s="85"/>
      <c r="E4" s="85"/>
      <c r="F4" s="85"/>
      <c r="G4" s="85"/>
      <c r="H4" s="85"/>
      <c r="I4" s="85"/>
      <c r="J4" s="85"/>
      <c r="K4" s="85"/>
      <c r="L4" s="85"/>
      <c r="M4" s="85"/>
    </row>
    <row r="6" spans="3:17">
      <c r="F6" s="81" t="s">
        <v>66</v>
      </c>
    </row>
    <row r="7" spans="3:17">
      <c r="C7" s="87" t="s">
        <v>22</v>
      </c>
      <c r="D7" s="81" t="s">
        <v>24</v>
      </c>
      <c r="F7" s="88" t="s">
        <v>25</v>
      </c>
      <c r="G7" s="88" t="s">
        <v>67</v>
      </c>
      <c r="H7" s="88" t="s">
        <v>71</v>
      </c>
      <c r="I7" s="88" t="s">
        <v>77</v>
      </c>
      <c r="J7" s="88"/>
      <c r="L7" s="197" t="s">
        <v>72</v>
      </c>
      <c r="M7" s="197" t="s">
        <v>74</v>
      </c>
      <c r="N7" s="197" t="s">
        <v>70</v>
      </c>
      <c r="O7" s="197" t="s">
        <v>75</v>
      </c>
      <c r="P7" s="197" t="s">
        <v>73</v>
      </c>
      <c r="Q7" s="197" t="s">
        <v>76</v>
      </c>
    </row>
    <row r="8" spans="3:17">
      <c r="C8" s="87" t="s">
        <v>1</v>
      </c>
      <c r="D8" s="89">
        <f ca="1">계산내역상세!I14</f>
        <v>531.28</v>
      </c>
      <c r="E8" s="89"/>
      <c r="F8" s="90">
        <f ca="1">VLOOKUP($D8,오르비누적!$A:$K,11,TRUE)</f>
        <v>5.3400000000000001E-3</v>
      </c>
      <c r="G8" s="81">
        <f ca="1">VLOOKUP($D8,오르비누적!$A:$K,10,TRUE)</f>
        <v>1800</v>
      </c>
      <c r="H8" s="238">
        <f ca="1">VLOOKUP($D8,오르비누적!$A:$K,1,TRUE)</f>
        <v>530.99645799999996</v>
      </c>
      <c r="I8" s="91" t="str">
        <f t="shared" ref="I8:I18" ca="1" si="0">CONCATENATE(M8*100,"%~",O8*100,"%")</f>
        <v>0.504%~0.534%</v>
      </c>
      <c r="L8" s="201">
        <f ca="1">OFFSET(오르비누적!$A$1,MATCH(H8,오르비누적!A:A,0),0,1,1)</f>
        <v>531.36240199999997</v>
      </c>
      <c r="M8" s="198">
        <f ca="1">OFFSET(오르비누적!$A$1,MATCH(H8,오르비누적!A:A,0),10,1,1)</f>
        <v>5.0400000000000002E-3</v>
      </c>
      <c r="N8" s="201">
        <f ca="1">OFFSET(오르비누적!$A$1,MATCH(H8,오르비누적!A:A,0)-1,0,1,1)</f>
        <v>530.99645799999996</v>
      </c>
      <c r="O8" s="198">
        <f ca="1">OFFSET(오르비누적!$A$1,MATCH(H8,오르비누적!A:A,0)-1,10,1,1)</f>
        <v>5.3400000000000001E-3</v>
      </c>
      <c r="P8" s="200">
        <f ca="1">OFFSET(오르비누적!$A$1,MATCH(H8,오르비누적!A:A,0)-2,0,1,1)</f>
        <v>530.64926300000002</v>
      </c>
      <c r="Q8" s="198">
        <f ca="1">OFFSET(오르비누적!$A$1,MATCH(H8,오르비누적!A:A,0)-2,10,1,1)</f>
        <v>5.6299999999999996E-3</v>
      </c>
    </row>
    <row r="9" spans="3:17">
      <c r="C9" s="87" t="s">
        <v>258</v>
      </c>
      <c r="D9" s="89">
        <f ca="1">계산내역상세!I15</f>
        <v>527.13599999999997</v>
      </c>
      <c r="E9" s="89"/>
      <c r="F9" s="90">
        <f ca="1">VLOOKUP(D9,오르비누적!T:V,3,TRUE)</f>
        <v>7.79E-3</v>
      </c>
      <c r="G9" s="81">
        <f ca="1">VLOOKUP(D9,오르비누적!T:V,2,TRUE)</f>
        <v>1248</v>
      </c>
      <c r="H9" s="238">
        <f ca="1">VLOOKUP(D9,오르비누적!T:V,1,TRUE)</f>
        <v>527.08094300000005</v>
      </c>
      <c r="I9" s="91" t="str">
        <f t="shared" ca="1" si="0"/>
        <v>0.748%~0.779%</v>
      </c>
      <c r="J9" s="81" t="s">
        <v>259</v>
      </c>
      <c r="L9" s="201">
        <f ca="1">OFFSET(오르비누적!$T$1,MATCH($H$9,오르비누적!$T:$T,0),0,1,1)</f>
        <v>527.29224999999997</v>
      </c>
      <c r="M9" s="198">
        <f ca="1">OFFSET(오르비누적!$T$1,MATCH($H$9,오르비누적!$T:$T,0),2,1,1)</f>
        <v>7.4799999999999997E-3</v>
      </c>
      <c r="N9" s="201">
        <f ca="1">OFFSET(오르비누적!$T$1,MATCH($H$9,오르비누적!$T:$T,0)-1,0,1,1)</f>
        <v>527.08094300000005</v>
      </c>
      <c r="O9" s="198">
        <f ca="1">OFFSET(오르비누적!$T$1,MATCH($H$9,오르비누적!$T:$T,0)-1,2,1,1)</f>
        <v>7.79E-3</v>
      </c>
      <c r="P9" s="200">
        <f ca="1">OFFSET(오르비누적!$T$1,MATCH($H$9,오르비누적!$T:$T,0)-2,0,1,1)</f>
        <v>526.89801299999999</v>
      </c>
      <c r="Q9" s="198">
        <f ca="1">OFFSET(오르비누적!$T$1,MATCH($H$9,오르비누적!$T:$T,0)-2,2,1,1)</f>
        <v>8.1099999999999992E-3</v>
      </c>
    </row>
    <row r="10" spans="3:17">
      <c r="C10" s="87" t="s">
        <v>3</v>
      </c>
      <c r="D10" s="89">
        <f>계산내역상세!I16</f>
        <v>332.3857142857143</v>
      </c>
      <c r="E10" s="89"/>
      <c r="F10" s="90">
        <f>VLOOKUP(D10,오르비누적!$B:$K,10,TRUE)</f>
        <v>7.7099999999999998E-3</v>
      </c>
      <c r="G10" s="81">
        <f>VLOOKUP($D$10,오르비누적!$B:$K,9,TRUE)</f>
        <v>2599</v>
      </c>
      <c r="H10" s="238">
        <f>VLOOKUP($D$10,오르비누적!$B:$K,1,TRUE)</f>
        <v>332.26563299999998</v>
      </c>
      <c r="I10" s="91" t="str">
        <f t="shared" ca="1" si="0"/>
        <v>0.741%~0.771%</v>
      </c>
      <c r="L10" s="201">
        <f ca="1">OFFSET(오르비누적!$A$1,MATCH(H10,오르비누적!B:B,0),1,1,1)</f>
        <v>332.40855399999998</v>
      </c>
      <c r="M10" s="198">
        <f ca="1">OFFSET(오르비누적!$A$1,MATCH(H10,오르비누적!B:B,0),10,1,1)</f>
        <v>7.4099999999999999E-3</v>
      </c>
      <c r="N10" s="201">
        <f ca="1">OFFSET(오르비누적!$A$1,MATCH(H10,오르비누적!B:B,0)-1,1,1,1)</f>
        <v>332.26563299999998</v>
      </c>
      <c r="O10" s="198">
        <f ca="1">OFFSET(오르비누적!$A$1,MATCH(H10,오르비누적!B:B,0)-1,10,1,1)</f>
        <v>7.7099999999999998E-3</v>
      </c>
      <c r="P10" s="200">
        <f ca="1">OFFSET(오르비누적!$A$1,MATCH(H10,오르비누적!B:B,0)-2,1,1,1)</f>
        <v>332.17565400000001</v>
      </c>
      <c r="Q10" s="198">
        <f ca="1">OFFSET(오르비누적!$A$1,MATCH(H10,오르비누적!B:B,0)-2,10,1,1)</f>
        <v>8.0000000000000002E-3</v>
      </c>
    </row>
    <row r="11" spans="3:17">
      <c r="C11" s="87" t="s">
        <v>45</v>
      </c>
      <c r="D11" s="89">
        <f>계산내역상세!I17</f>
        <v>488.35012594458442</v>
      </c>
      <c r="E11" s="89"/>
      <c r="F11" s="90">
        <f>VLOOKUP(D11,오르비누적!$C:$K,9,TRUE)</f>
        <v>7.4099999999999999E-3</v>
      </c>
      <c r="G11" s="81">
        <f>VLOOKUP($D$11,오르비누적!$C:$K,8,TRUE)</f>
        <v>2499</v>
      </c>
      <c r="H11" s="238">
        <f>VLOOKUP($D$11,오르비누적!$C:$K,1,TRUE)</f>
        <v>488.28855399999998</v>
      </c>
      <c r="I11" s="91" t="str">
        <f t="shared" ca="1" si="0"/>
        <v>0.711%~0.741%</v>
      </c>
      <c r="L11" s="201">
        <f ca="1">OFFSET(오르비누적!$A$1,MATCH(H11,오르비누적!C:C,0),2,1,1)</f>
        <v>488.53807899999998</v>
      </c>
      <c r="M11" s="198">
        <f ca="1">OFFSET(오르비누적!$A$1,MATCH(H11,오르비누적!C:C,0),10,1,1)</f>
        <v>7.11E-3</v>
      </c>
      <c r="N11" s="201">
        <f ca="1">OFFSET(오르비누적!$A$1,MATCH(H11,오르비누적!C:C,0)-1,2,1,1)</f>
        <v>488.28855399999998</v>
      </c>
      <c r="O11" s="198">
        <f ca="1">OFFSET(오르비누적!$A$1,MATCH(H11,오르비누적!C:C,0)-1,10,1,1)</f>
        <v>7.4099999999999999E-3</v>
      </c>
      <c r="P11" s="200">
        <f ca="1">OFFSET(오르비누적!$A$1,MATCH(H11,오르비누적!C:C,0)-2,2,1,1)</f>
        <v>488.14218799999998</v>
      </c>
      <c r="Q11" s="198">
        <f ca="1">OFFSET(오르비누적!$A$1,MATCH(H11,오르비누적!C:C,0)-2,10,1,1)</f>
        <v>7.7099999999999998E-3</v>
      </c>
    </row>
    <row r="12" spans="3:17">
      <c r="C12" s="87" t="s">
        <v>46</v>
      </c>
      <c r="D12" s="89">
        <f>계산내역상세!I18</f>
        <v>533.24400000000003</v>
      </c>
      <c r="E12" s="89"/>
      <c r="F12" s="90">
        <f>VLOOKUP(D12,오르비누적!$D:$K,8,TRUE)</f>
        <v>7.4099999999999999E-3</v>
      </c>
      <c r="G12" s="81">
        <f>VLOOKUP($D$12,오르비누적!$D:$K,7,TRUE)</f>
        <v>2499</v>
      </c>
      <c r="H12" s="238">
        <f>VLOOKUP($D$12,오르비누적!$D:$K,1,TRUE)</f>
        <v>532.97200000000009</v>
      </c>
      <c r="I12" s="91" t="str">
        <f t="shared" ca="1" si="0"/>
        <v>0.711%~0.741%</v>
      </c>
      <c r="L12" s="201">
        <f ca="1">OFFSET(오르비누적!$A$1,MATCH(H12,오르비누적!D:D,0),3,1,1)</f>
        <v>533.33199999999999</v>
      </c>
      <c r="M12" s="198">
        <f ca="1">OFFSET(오르비누적!$A$1,MATCH(H12,오르비누적!D:D,0),10,1,1)</f>
        <v>7.11E-3</v>
      </c>
      <c r="N12" s="201">
        <f ca="1">OFFSET(오르비누적!$A$1,MATCH(H12,오르비누적!D:D,0)-1,3,1,1)</f>
        <v>532.97200000000009</v>
      </c>
      <c r="O12" s="198">
        <f ca="1">OFFSET(오르비누적!$A$1,MATCH(H12,오르비누적!D:D,0)-1,10,1,1)</f>
        <v>7.4099999999999999E-3</v>
      </c>
      <c r="P12" s="200">
        <f ca="1">OFFSET(오르비누적!$A$1,MATCH(H12,오르비누적!D:D,0)-2,3,1,1)</f>
        <v>532.69999999999993</v>
      </c>
      <c r="Q12" s="198">
        <f ca="1">OFFSET(오르비누적!$A$1,MATCH(H12,오르비누적!D:D,0)-2,10,1,1)</f>
        <v>7.7099999999999998E-3</v>
      </c>
    </row>
    <row r="13" spans="3:17">
      <c r="C13" s="87" t="s">
        <v>47</v>
      </c>
      <c r="D13" s="89">
        <f>계산내역상세!I19</f>
        <v>534.44399999999996</v>
      </c>
      <c r="E13" s="89"/>
      <c r="F13" s="90">
        <f>VLOOKUP(D13,오르비누적!$E:$K,7,TRUE)</f>
        <v>7.4099999999999999E-3</v>
      </c>
      <c r="G13" s="81">
        <f>VLOOKUP($D$13,오르비누적!$E:$K,6,TRUE)</f>
        <v>2499</v>
      </c>
      <c r="H13" s="238">
        <f>VLOOKUP($D$13,오르비누적!$E:$K,1,TRUE)</f>
        <v>534.23199999999997</v>
      </c>
      <c r="I13" s="91" t="str">
        <f t="shared" ca="1" si="0"/>
        <v>0.711%~0.741%</v>
      </c>
      <c r="L13" s="201">
        <f ca="1">OFFSET(오르비누적!$A$1,MATCH(H13,오르비누적!E:E,0),4,1,1)</f>
        <v>534.53200000000004</v>
      </c>
      <c r="M13" s="198">
        <f ca="1">OFFSET(오르비누적!$A$1,MATCH(H13,오르비누적!E:E,0),10,1,1)</f>
        <v>7.11E-3</v>
      </c>
      <c r="N13" s="201">
        <f ca="1">OFFSET(오르비누적!$A$1,MATCH(H13,오르비누적!E:E,0)-1,4,1,1)</f>
        <v>534.23199999999997</v>
      </c>
      <c r="O13" s="198">
        <f ca="1">OFFSET(오르비누적!$A$1,MATCH(H13,오르비누적!E:E,0)-1,10,1,1)</f>
        <v>7.4099999999999999E-3</v>
      </c>
      <c r="P13" s="200">
        <f ca="1">OFFSET(오르비누적!$A$1,MATCH(H13,오르비누적!E:E,0)-2,4,1,1)</f>
        <v>533.98</v>
      </c>
      <c r="Q13" s="198">
        <f ca="1">OFFSET(오르비누적!$A$1,MATCH(H13,오르비누적!E:E,0)-2,10,1,1)</f>
        <v>7.7099999999999998E-3</v>
      </c>
    </row>
    <row r="14" spans="3:17">
      <c r="C14" s="87" t="s">
        <v>8</v>
      </c>
      <c r="D14" s="89">
        <f>계산내역상세!I20</f>
        <v>403.26</v>
      </c>
      <c r="E14" s="89"/>
      <c r="F14" s="90">
        <f>VLOOKUP(D14,오르비누적!$F:$K,6,TRUE)</f>
        <v>4.7400000000000003E-3</v>
      </c>
      <c r="G14" s="81">
        <f>VLOOKUP($D$14,오르비누적!$F:$K,5,TRUE)</f>
        <v>1597</v>
      </c>
      <c r="H14" s="238">
        <f>VLOOKUP($D$14,Sheet3!A:B,1,TRUE)</f>
        <v>403.26</v>
      </c>
      <c r="I14" s="91" t="str">
        <f t="shared" ca="1" si="0"/>
        <v>0.385%~0.444%</v>
      </c>
      <c r="L14" s="201">
        <f ca="1">OFFSET(Sheet3!$A$1,MATCH($H$14,Sheet3!$A:$A,0),0,1,1)</f>
        <v>404.16</v>
      </c>
      <c r="M14" s="198">
        <f ca="1">OFFSET(Sheet3!$A$1,MATCH($H$14,Sheet3!$A:$A,0),1,1,1)</f>
        <v>3.8500000000000001E-3</v>
      </c>
      <c r="N14" s="201">
        <f ca="1">OFFSET(Sheet3!$A$1,MATCH($H$14,Sheet3!$A:$A,0)-1,0,1,1)</f>
        <v>403.26</v>
      </c>
      <c r="O14" s="198">
        <f ca="1">OFFSET(Sheet3!$A$1,MATCH($H$14,Sheet3!$A:$A,0)-1,1,1,1)</f>
        <v>4.4400000000000004E-3</v>
      </c>
      <c r="P14" s="200">
        <f ca="1">OFFSET(Sheet3!$A$1,MATCH($H$14,Sheet3!$A:$A,0)-2,0,1,1)</f>
        <v>403.17</v>
      </c>
      <c r="Q14" s="198">
        <f ca="1">OFFSET(Sheet3!$A$1,MATCH($H$14,Sheet3!$A:$A,0)-2,1,1,1)</f>
        <v>4.7400000000000003E-3</v>
      </c>
    </row>
    <row r="15" spans="3:17">
      <c r="C15" s="87" t="s">
        <v>9</v>
      </c>
      <c r="D15" s="89">
        <f>계산내역상세!I21</f>
        <v>467.16599999999994</v>
      </c>
      <c r="E15" s="89"/>
      <c r="F15" s="90">
        <f>VLOOKUP(D15,오르비누적!$G:$K,5,TRUE)</f>
        <v>6.8199999999999997E-3</v>
      </c>
      <c r="G15" s="81">
        <f>VLOOKUP($D$15,오르비누적!$G:$K,4,TRUE)</f>
        <v>2300</v>
      </c>
      <c r="H15" s="238">
        <f>VLOOKUP($D$15,오르비누적!$G:$K,1,TRUE)</f>
        <v>467.02255534</v>
      </c>
      <c r="I15" s="91" t="str">
        <f t="shared" ca="1" si="0"/>
        <v>0.652%~0.682%</v>
      </c>
      <c r="L15" s="201">
        <f ca="1">OFFSET(오르비누적!$A$1,MATCH(H15,오르비누적!G:G,0),6,1,1)</f>
        <v>467.22900267</v>
      </c>
      <c r="M15" s="198">
        <f ca="1">OFFSET(오르비누적!$A$1,MATCH(H15,오르비누적!G:G,0),10,1,1)</f>
        <v>6.5199999999999998E-3</v>
      </c>
      <c r="N15" s="201">
        <f ca="1">OFFSET(오르비누적!$A$1,MATCH(H15,오르비누적!G:G,0)-1,6,1,1)</f>
        <v>467.02255534</v>
      </c>
      <c r="O15" s="198">
        <f ca="1">OFFSET(오르비누적!$A$1,MATCH(H15,오르비누적!G:G,0)-1,10,1,1)</f>
        <v>6.8199999999999997E-3</v>
      </c>
      <c r="P15" s="200">
        <f ca="1">OFFSET(오르비누적!$A$1,MATCH(H15,오르비누적!G:G,0)-2,6,1,1)</f>
        <v>466.64100248999995</v>
      </c>
      <c r="Q15" s="198">
        <f ca="1">OFFSET(오르비누적!$A$1,MATCH(H15,오르비누적!G:G,0)-2,10,1,1)</f>
        <v>7.11E-3</v>
      </c>
    </row>
    <row r="16" spans="3:17">
      <c r="C16" s="87" t="s">
        <v>50</v>
      </c>
      <c r="D16" s="89">
        <f>계산내역상세!I22</f>
        <v>680.91632518175811</v>
      </c>
      <c r="E16" s="89"/>
      <c r="F16" s="90">
        <f>VLOOKUP(D16,오르비누적!$H:$K,4,TRUE)</f>
        <v>9.1800000000000007E-3</v>
      </c>
      <c r="G16" s="81">
        <f>VLOOKUP($D$16,오르비누적!$H:$K,3,TRUE)</f>
        <v>3096</v>
      </c>
      <c r="H16" s="238">
        <f>VLOOKUP($D$16,오르비누적!$H:$K,1,TRUE)</f>
        <v>680.52676801057498</v>
      </c>
      <c r="I16" s="91" t="str">
        <f t="shared" ca="1" si="0"/>
        <v>0.889%~0.918%</v>
      </c>
      <c r="L16" s="201">
        <f ca="1">OFFSET(오르비누적!$A$1,MATCH(H16,오르비누적!H:H,0),7,1,1)</f>
        <v>681.07106922364108</v>
      </c>
      <c r="M16" s="198">
        <f ca="1">OFFSET(오르비누적!$A$1,MATCH(H16,오르비누적!H:H,0),10,1,1)</f>
        <v>8.8900000000000003E-3</v>
      </c>
      <c r="N16" s="201">
        <f ca="1">OFFSET(오르비누적!$A$1,MATCH(H16,오르비누적!H:H,0)-1,7,1,1)</f>
        <v>680.52676801057498</v>
      </c>
      <c r="O16" s="198">
        <f ca="1">OFFSET(오르비누적!$A$1,MATCH(H16,오르비누적!H:H,0)-1,10,1,1)</f>
        <v>9.1800000000000007E-3</v>
      </c>
      <c r="P16" s="200">
        <f ca="1">OFFSET(오르비누적!$A$1,MATCH(H16,오르비누적!H:H,0)-2,7,1,1)</f>
        <v>680.22932203188304</v>
      </c>
      <c r="Q16" s="198">
        <f ca="1">OFFSET(오르비누적!$A$1,MATCH(H16,오르비누적!H:H,0)-2,10,1,1)</f>
        <v>9.4800000000000006E-3</v>
      </c>
    </row>
    <row r="17" spans="3:17">
      <c r="C17" s="87" t="s">
        <v>53</v>
      </c>
      <c r="D17" s="89">
        <f>계산내역상세!I23</f>
        <v>680.91632518175811</v>
      </c>
      <c r="E17" s="89"/>
      <c r="F17" s="90">
        <f>VLOOKUP(D17,오르비누적!$I:$K,3,TRUE)</f>
        <v>9.7800000000000005E-3</v>
      </c>
      <c r="G17" s="81">
        <f>VLOOKUP($D$17,오르비누적!$I:$K,2,TRUE)</f>
        <v>3299</v>
      </c>
      <c r="H17" s="238">
        <f>VLOOKUP($D$17,오르비누적!$I:$K,1,TRUE)</f>
        <v>680.75710242543232</v>
      </c>
      <c r="I17" s="91" t="str">
        <f t="shared" ca="1" si="0"/>
        <v>0.948%~0.978%</v>
      </c>
      <c r="L17" s="201">
        <f ca="1">OFFSET(오르비누적!$A$1,MATCH(H17,오르비누적!I:I,0),8,1,1)</f>
        <v>680.96646872146232</v>
      </c>
      <c r="M17" s="198">
        <f ca="1">OFFSET(오르비누적!$A$1,MATCH(H17,오르비누적!I:I,0),10,1,1)</f>
        <v>9.4800000000000006E-3</v>
      </c>
      <c r="N17" s="201">
        <f ca="1">OFFSET(오르비누적!$A$1,MATCH(H17,오르비누적!I:I,0)-1,8,1,1)</f>
        <v>680.75710242543232</v>
      </c>
      <c r="O17" s="198">
        <f ca="1">OFFSET(오르비누적!$A$1,MATCH(H17,오르비누적!I:I,0)-1,10,1,1)</f>
        <v>9.7800000000000005E-3</v>
      </c>
      <c r="P17" s="200">
        <f ca="1">OFFSET(오르비누적!$A$1,MATCH(H17,오르비누적!I:I,0)-2,8,1,1)</f>
        <v>680.44818695983417</v>
      </c>
      <c r="Q17" s="198">
        <f ca="1">OFFSET(오르비누적!$A$1,MATCH(H17,오르비누적!I:I,0)-2,10,1,1)</f>
        <v>1.0070000000000001E-2</v>
      </c>
    </row>
    <row r="18" spans="3:17">
      <c r="C18" s="87" t="s">
        <v>56</v>
      </c>
      <c r="D18" s="89">
        <f>점수입력!K14</f>
        <v>684.49062249544215</v>
      </c>
      <c r="E18" s="89"/>
      <c r="F18" s="90">
        <f>VLOOKUP(D18,오르비누적!X:Z,3,TRUE)</f>
        <v>6.8199999999999997E-3</v>
      </c>
      <c r="G18" s="81">
        <f>VLOOKUP(D18,오르비누적!X:Z,2,TRUE)</f>
        <v>2300</v>
      </c>
      <c r="H18" s="238">
        <f>VLOOKUP(D18,오르비누적!X:Z,1,TRUE)</f>
        <v>684.31817423612506</v>
      </c>
      <c r="I18" s="91" t="str">
        <f t="shared" ca="1" si="0"/>
        <v>0.652%~0.682%</v>
      </c>
      <c r="L18" s="201">
        <f ca="1">OFFSET(오르비누적!X1,MATCH(H18,오르비누적!X:X,0),0,1,1)</f>
        <v>684.63730685656526</v>
      </c>
      <c r="M18" s="198">
        <f ca="1">OFFSET(오르비누적!X1,MATCH(H18,오르비누적!X:X,0),2,1,1)</f>
        <v>6.5199999999999998E-3</v>
      </c>
      <c r="N18" s="201">
        <f>H18</f>
        <v>684.31817423612506</v>
      </c>
      <c r="O18" s="199">
        <f>F18</f>
        <v>6.8199999999999997E-3</v>
      </c>
      <c r="P18" s="200">
        <f ca="1">OFFSET(오르비누적!X1,MATCH(H18,오르비누적!X:X,0)-2,0,1,1)</f>
        <v>683.84675551929377</v>
      </c>
      <c r="Q18" s="198">
        <f ca="1">OFFSET(오르비누적!X1,MATCH(H18,오르비누적!X:X,0)-2,2,1,1)</f>
        <v>7.11E-3</v>
      </c>
    </row>
    <row r="19" spans="3:17">
      <c r="C19" s="87" t="s">
        <v>55</v>
      </c>
      <c r="D19" s="89">
        <f>점수입력!K15</f>
        <v>679.79006852029613</v>
      </c>
      <c r="E19" s="89"/>
    </row>
    <row r="20" spans="3:17">
      <c r="C20" s="87" t="s">
        <v>11</v>
      </c>
      <c r="D20" s="89">
        <f>계산내역상세!I26</f>
        <v>465.64000000000004</v>
      </c>
      <c r="E20" s="89"/>
    </row>
    <row r="21" spans="3:17" ht="18.75" customHeight="1">
      <c r="C21" s="87" t="s">
        <v>59</v>
      </c>
      <c r="D21" s="89">
        <f>계산내역상세!I27</f>
        <v>559.19999999999993</v>
      </c>
      <c r="E21" s="89"/>
    </row>
    <row r="22" spans="3:17">
      <c r="C22" s="87" t="s">
        <v>12</v>
      </c>
      <c r="D22" s="89">
        <f>계산내역상세!I28</f>
        <v>683.53588235294126</v>
      </c>
      <c r="E22" s="89"/>
    </row>
    <row r="23" spans="3:17">
      <c r="C23" s="87" t="s">
        <v>19</v>
      </c>
      <c r="D23" s="89">
        <f>계산내역상세!I29</f>
        <v>581.26187705316499</v>
      </c>
      <c r="E23" s="89"/>
    </row>
    <row r="24" spans="3:17">
      <c r="C24" s="87" t="s">
        <v>220</v>
      </c>
      <c r="D24" s="89"/>
      <c r="E24" s="89"/>
    </row>
    <row r="25" spans="3:17">
      <c r="C25" s="87" t="s">
        <v>169</v>
      </c>
      <c r="D25" s="89">
        <f>계산내역상세!I31</f>
        <v>464.31</v>
      </c>
      <c r="E25" s="89"/>
    </row>
    <row r="26" spans="3:17">
      <c r="C26" s="87" t="s">
        <v>173</v>
      </c>
      <c r="D26" s="89">
        <f>계산내역상세!I32</f>
        <v>659.0825000000001</v>
      </c>
      <c r="E26" s="89"/>
    </row>
    <row r="27" spans="3:17">
      <c r="C27" s="87" t="s">
        <v>1553</v>
      </c>
      <c r="D27" s="89">
        <f>계산내역상세!I33</f>
        <v>52.900000000000006</v>
      </c>
      <c r="E27" s="89"/>
    </row>
    <row r="28" spans="3:17">
      <c r="C28" s="87"/>
      <c r="D28" s="89"/>
      <c r="E28" s="89"/>
    </row>
    <row r="29" spans="3:17">
      <c r="C29" s="87"/>
      <c r="D29" s="89"/>
      <c r="E29" s="89"/>
    </row>
    <row r="30" spans="3:17">
      <c r="C30" s="87"/>
      <c r="D30" s="89"/>
      <c r="E30" s="89"/>
    </row>
    <row r="31" spans="3:17">
      <c r="C31" s="87"/>
      <c r="D31" s="89"/>
      <c r="E31" s="89"/>
    </row>
    <row r="32" spans="3:17">
      <c r="C32" s="87"/>
      <c r="D32" s="89"/>
      <c r="E32" s="89"/>
    </row>
  </sheetData>
  <sheetProtection algorithmName="SHA-512" hashValue="j949MpbOd9aAq1gWg6CfU9cvlm83hT0pmLZyyJUoYb9F4Z5a/Mqbsp4TxC+TCyHqyx4kUS2qJq2bVFd4/1UgEw==" saltValue="gp5pwjodgwV+WP+l32ayug==" spinCount="100000" sheet="1" objects="1" scenarios="1" selectLockedCells="1" selectUnlockedCells="1"/>
  <phoneticPr fontId="1" type="noConversion"/>
  <hyperlinks>
    <hyperlink ref="J3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D5:K106"/>
  <sheetViews>
    <sheetView showGridLines="0" topLeftCell="A4" workbookViewId="0">
      <selection activeCell="J6" sqref="J6:K15"/>
    </sheetView>
  </sheetViews>
  <sheetFormatPr defaultRowHeight="16.5"/>
  <sheetData>
    <row r="5" spans="4:11">
      <c r="D5" s="1" t="s">
        <v>0</v>
      </c>
      <c r="E5" s="1" t="s">
        <v>15</v>
      </c>
    </row>
    <row r="6" spans="4:11">
      <c r="D6" s="2">
        <v>100</v>
      </c>
      <c r="E6" s="3">
        <v>66.400000000000006</v>
      </c>
      <c r="F6" s="6">
        <f>ROUND(E6,2)</f>
        <v>66.400000000000006</v>
      </c>
      <c r="J6" s="7">
        <v>0</v>
      </c>
      <c r="K6" s="7">
        <v>0</v>
      </c>
    </row>
    <row r="7" spans="4:11">
      <c r="D7" s="2">
        <v>99</v>
      </c>
      <c r="E7" s="3">
        <v>66.2</v>
      </c>
      <c r="F7" s="6">
        <f t="shared" ref="F7:F70" si="0">ROUND(E7,2)</f>
        <v>66.2</v>
      </c>
      <c r="J7" s="14">
        <v>1</v>
      </c>
      <c r="K7" s="14">
        <v>0</v>
      </c>
    </row>
    <row r="8" spans="4:11">
      <c r="D8" s="2">
        <v>98</v>
      </c>
      <c r="E8" s="3">
        <v>65.849999999999994</v>
      </c>
      <c r="F8" s="6">
        <f t="shared" si="0"/>
        <v>65.849999999999994</v>
      </c>
      <c r="J8" s="14">
        <v>2</v>
      </c>
      <c r="K8" s="14">
        <v>0</v>
      </c>
    </row>
    <row r="9" spans="4:11">
      <c r="D9" s="2">
        <v>97</v>
      </c>
      <c r="E9" s="3">
        <v>65.48</v>
      </c>
      <c r="F9" s="6">
        <f t="shared" si="0"/>
        <v>65.48</v>
      </c>
      <c r="J9" s="14">
        <v>3</v>
      </c>
      <c r="K9" s="14">
        <v>-1</v>
      </c>
    </row>
    <row r="10" spans="4:11">
      <c r="D10" s="4">
        <v>96</v>
      </c>
      <c r="E10" s="5">
        <v>65.099999999999994</v>
      </c>
      <c r="F10" s="6">
        <f t="shared" si="0"/>
        <v>65.099999999999994</v>
      </c>
      <c r="J10" s="14">
        <v>4</v>
      </c>
      <c r="K10" s="14">
        <v>-2</v>
      </c>
    </row>
    <row r="11" spans="4:11">
      <c r="D11" s="2">
        <v>95</v>
      </c>
      <c r="E11" s="3">
        <v>64.7</v>
      </c>
      <c r="F11" s="6">
        <f t="shared" si="0"/>
        <v>64.7</v>
      </c>
      <c r="J11" s="14">
        <v>5</v>
      </c>
      <c r="K11" s="14">
        <v>-3</v>
      </c>
    </row>
    <row r="12" spans="4:11">
      <c r="D12" s="2">
        <v>94</v>
      </c>
      <c r="E12" s="3">
        <v>64.33</v>
      </c>
      <c r="F12" s="6">
        <f t="shared" si="0"/>
        <v>64.33</v>
      </c>
      <c r="J12" s="14">
        <v>6</v>
      </c>
      <c r="K12" s="14">
        <v>-4</v>
      </c>
    </row>
    <row r="13" spans="4:11">
      <c r="D13" s="2">
        <v>93</v>
      </c>
      <c r="E13" s="3">
        <v>64.03</v>
      </c>
      <c r="F13" s="6">
        <f t="shared" si="0"/>
        <v>64.03</v>
      </c>
      <c r="J13" s="14">
        <v>7</v>
      </c>
      <c r="K13" s="14">
        <v>-5</v>
      </c>
    </row>
    <row r="14" spans="4:11">
      <c r="D14" s="2">
        <v>92</v>
      </c>
      <c r="E14" s="3">
        <v>63.7</v>
      </c>
      <c r="F14" s="6">
        <f t="shared" si="0"/>
        <v>63.7</v>
      </c>
      <c r="J14" s="14">
        <v>8</v>
      </c>
      <c r="K14" s="14">
        <v>-6</v>
      </c>
    </row>
    <row r="15" spans="4:11">
      <c r="D15" s="2">
        <v>91</v>
      </c>
      <c r="E15" s="3">
        <v>63.39</v>
      </c>
      <c r="F15" s="6">
        <f t="shared" si="0"/>
        <v>63.39</v>
      </c>
      <c r="J15" s="14">
        <v>9</v>
      </c>
      <c r="K15" s="14">
        <v>-6</v>
      </c>
    </row>
    <row r="16" spans="4:11">
      <c r="D16" s="2">
        <v>90</v>
      </c>
      <c r="E16" s="3">
        <v>63.03</v>
      </c>
      <c r="F16" s="6">
        <f t="shared" si="0"/>
        <v>63.03</v>
      </c>
    </row>
    <row r="17" spans="4:6">
      <c r="D17" s="4">
        <v>89</v>
      </c>
      <c r="E17" s="5">
        <v>62.74</v>
      </c>
      <c r="F17" s="6">
        <f t="shared" si="0"/>
        <v>62.74</v>
      </c>
    </row>
    <row r="18" spans="4:6">
      <c r="D18" s="2">
        <v>88</v>
      </c>
      <c r="E18" s="3">
        <v>62.47</v>
      </c>
      <c r="F18" s="6">
        <f t="shared" si="0"/>
        <v>62.47</v>
      </c>
    </row>
    <row r="19" spans="4:6">
      <c r="D19" s="2">
        <v>87</v>
      </c>
      <c r="E19" s="3">
        <v>62.19</v>
      </c>
      <c r="F19" s="6">
        <f t="shared" si="0"/>
        <v>62.19</v>
      </c>
    </row>
    <row r="20" spans="4:6">
      <c r="D20" s="2">
        <v>86</v>
      </c>
      <c r="E20" s="3">
        <v>61.9</v>
      </c>
      <c r="F20" s="6">
        <f t="shared" si="0"/>
        <v>61.9</v>
      </c>
    </row>
    <row r="21" spans="4:6">
      <c r="D21" s="2">
        <v>85</v>
      </c>
      <c r="E21" s="3">
        <v>61.65</v>
      </c>
      <c r="F21" s="6">
        <f t="shared" si="0"/>
        <v>61.65</v>
      </c>
    </row>
    <row r="22" spans="4:6">
      <c r="D22" s="2">
        <v>84</v>
      </c>
      <c r="E22">
        <v>61.39</v>
      </c>
      <c r="F22" s="6">
        <f t="shared" si="0"/>
        <v>61.39</v>
      </c>
    </row>
    <row r="23" spans="4:6">
      <c r="D23" s="2">
        <v>83</v>
      </c>
      <c r="E23">
        <v>61.11</v>
      </c>
      <c r="F23" s="6">
        <f t="shared" si="0"/>
        <v>61.11</v>
      </c>
    </row>
    <row r="24" spans="4:6">
      <c r="D24" s="2">
        <v>82</v>
      </c>
      <c r="E24">
        <v>60.8</v>
      </c>
      <c r="F24" s="6">
        <f t="shared" si="0"/>
        <v>60.8</v>
      </c>
    </row>
    <row r="25" spans="4:6">
      <c r="D25" s="2">
        <v>81</v>
      </c>
      <c r="E25">
        <v>60.47</v>
      </c>
      <c r="F25" s="6">
        <f t="shared" si="0"/>
        <v>60.47</v>
      </c>
    </row>
    <row r="26" spans="4:6">
      <c r="D26" s="2">
        <v>80</v>
      </c>
      <c r="E26">
        <v>60.16</v>
      </c>
      <c r="F26" s="6">
        <f t="shared" si="0"/>
        <v>60.16</v>
      </c>
    </row>
    <row r="27" spans="4:6">
      <c r="D27" s="2">
        <v>79</v>
      </c>
      <c r="E27">
        <v>59.91</v>
      </c>
      <c r="F27" s="6">
        <f t="shared" si="0"/>
        <v>59.91</v>
      </c>
    </row>
    <row r="28" spans="4:6">
      <c r="D28" s="4">
        <v>78</v>
      </c>
      <c r="E28">
        <v>59.65</v>
      </c>
      <c r="F28" s="6">
        <f t="shared" si="0"/>
        <v>59.65</v>
      </c>
    </row>
    <row r="29" spans="4:6">
      <c r="D29" s="2">
        <v>77</v>
      </c>
      <c r="E29">
        <v>59.34</v>
      </c>
      <c r="F29" s="6">
        <f t="shared" si="0"/>
        <v>59.34</v>
      </c>
    </row>
    <row r="30" spans="4:6">
      <c r="D30" s="2">
        <v>76</v>
      </c>
      <c r="E30">
        <v>59.03</v>
      </c>
      <c r="F30" s="6">
        <f t="shared" si="0"/>
        <v>59.03</v>
      </c>
    </row>
    <row r="31" spans="4:6">
      <c r="D31" s="2">
        <v>75</v>
      </c>
      <c r="E31">
        <v>58.76</v>
      </c>
      <c r="F31" s="6">
        <f t="shared" si="0"/>
        <v>58.76</v>
      </c>
    </row>
    <row r="32" spans="4:6">
      <c r="D32" s="2">
        <v>74</v>
      </c>
      <c r="E32">
        <v>58.48</v>
      </c>
      <c r="F32" s="6">
        <f t="shared" si="0"/>
        <v>58.48</v>
      </c>
    </row>
    <row r="33" spans="4:6">
      <c r="D33" s="2">
        <v>73</v>
      </c>
      <c r="E33">
        <v>58.2</v>
      </c>
      <c r="F33" s="6">
        <f t="shared" si="0"/>
        <v>58.2</v>
      </c>
    </row>
    <row r="34" spans="4:6">
      <c r="D34" s="2">
        <v>72</v>
      </c>
      <c r="E34">
        <v>57.93</v>
      </c>
      <c r="F34" s="6">
        <f t="shared" si="0"/>
        <v>57.93</v>
      </c>
    </row>
    <row r="35" spans="4:6">
      <c r="D35" s="2">
        <v>71</v>
      </c>
      <c r="E35">
        <v>57.67</v>
      </c>
      <c r="F35" s="6">
        <f t="shared" si="0"/>
        <v>57.67</v>
      </c>
    </row>
    <row r="36" spans="4:6">
      <c r="D36" s="2">
        <v>70</v>
      </c>
      <c r="E36">
        <v>57.38</v>
      </c>
      <c r="F36" s="6">
        <f t="shared" si="0"/>
        <v>57.38</v>
      </c>
    </row>
    <row r="37" spans="4:6">
      <c r="D37" s="2">
        <v>69</v>
      </c>
      <c r="E37">
        <v>57.08</v>
      </c>
      <c r="F37" s="6">
        <f t="shared" si="0"/>
        <v>57.08</v>
      </c>
    </row>
    <row r="38" spans="4:6">
      <c r="D38" s="2">
        <v>68</v>
      </c>
      <c r="E38">
        <v>56.73</v>
      </c>
      <c r="F38" s="6">
        <f t="shared" si="0"/>
        <v>56.73</v>
      </c>
    </row>
    <row r="39" spans="4:6">
      <c r="D39" s="4">
        <v>67</v>
      </c>
      <c r="E39">
        <v>56.37</v>
      </c>
      <c r="F39" s="6">
        <f t="shared" si="0"/>
        <v>56.37</v>
      </c>
    </row>
    <row r="40" spans="4:6">
      <c r="D40" s="2">
        <v>66</v>
      </c>
      <c r="E40">
        <v>56.04</v>
      </c>
      <c r="F40" s="6">
        <f t="shared" si="0"/>
        <v>56.04</v>
      </c>
    </row>
    <row r="41" spans="4:6">
      <c r="D41" s="2">
        <v>65</v>
      </c>
      <c r="E41">
        <v>55.71</v>
      </c>
      <c r="F41" s="6">
        <f t="shared" si="0"/>
        <v>55.71</v>
      </c>
    </row>
    <row r="42" spans="4:6">
      <c r="D42" s="2">
        <v>64</v>
      </c>
      <c r="E42">
        <v>55.4</v>
      </c>
      <c r="F42" s="6">
        <f t="shared" si="0"/>
        <v>55.4</v>
      </c>
    </row>
    <row r="43" spans="4:6">
      <c r="D43" s="2">
        <v>63</v>
      </c>
      <c r="E43">
        <v>55.09</v>
      </c>
      <c r="F43" s="6">
        <f t="shared" si="0"/>
        <v>55.09</v>
      </c>
    </row>
    <row r="44" spans="4:6">
      <c r="D44" s="2">
        <v>62</v>
      </c>
      <c r="E44">
        <v>54.79</v>
      </c>
      <c r="F44" s="6">
        <f t="shared" si="0"/>
        <v>54.79</v>
      </c>
    </row>
    <row r="45" spans="4:6">
      <c r="D45" s="2">
        <v>61</v>
      </c>
      <c r="E45">
        <v>54.51</v>
      </c>
      <c r="F45" s="6">
        <f t="shared" si="0"/>
        <v>54.51</v>
      </c>
    </row>
    <row r="46" spans="4:6">
      <c r="D46" s="2">
        <v>60</v>
      </c>
      <c r="E46">
        <v>54.21</v>
      </c>
      <c r="F46" s="6">
        <f t="shared" si="0"/>
        <v>54.21</v>
      </c>
    </row>
    <row r="47" spans="4:6">
      <c r="D47" s="2">
        <v>59</v>
      </c>
      <c r="E47">
        <v>53.86</v>
      </c>
      <c r="F47" s="6">
        <f t="shared" si="0"/>
        <v>53.86</v>
      </c>
    </row>
    <row r="48" spans="4:6">
      <c r="D48" s="2">
        <v>58</v>
      </c>
      <c r="E48">
        <v>53.54</v>
      </c>
      <c r="F48" s="6">
        <f t="shared" si="0"/>
        <v>53.54</v>
      </c>
    </row>
    <row r="49" spans="4:6">
      <c r="D49" s="2">
        <v>57</v>
      </c>
      <c r="E49">
        <v>53.2</v>
      </c>
      <c r="F49" s="6">
        <f t="shared" si="0"/>
        <v>53.2</v>
      </c>
    </row>
    <row r="50" spans="4:6">
      <c r="D50" s="4">
        <v>56</v>
      </c>
      <c r="E50">
        <v>52.85</v>
      </c>
      <c r="F50" s="6">
        <f t="shared" si="0"/>
        <v>52.85</v>
      </c>
    </row>
    <row r="51" spans="4:6">
      <c r="D51" s="2">
        <v>55</v>
      </c>
      <c r="E51">
        <v>52.51</v>
      </c>
      <c r="F51" s="6">
        <f t="shared" si="0"/>
        <v>52.51</v>
      </c>
    </row>
    <row r="52" spans="4:6">
      <c r="D52" s="2">
        <v>54</v>
      </c>
      <c r="E52">
        <v>52.12</v>
      </c>
      <c r="F52" s="6">
        <f t="shared" si="0"/>
        <v>52.12</v>
      </c>
    </row>
    <row r="53" spans="4:6">
      <c r="D53" s="2">
        <v>53</v>
      </c>
      <c r="E53">
        <v>51.73</v>
      </c>
      <c r="F53" s="6">
        <f t="shared" si="0"/>
        <v>51.73</v>
      </c>
    </row>
    <row r="54" spans="4:6">
      <c r="D54" s="2">
        <v>52</v>
      </c>
      <c r="E54">
        <v>51.35</v>
      </c>
      <c r="F54" s="6">
        <f t="shared" si="0"/>
        <v>51.35</v>
      </c>
    </row>
    <row r="55" spans="4:6">
      <c r="D55" s="2">
        <v>51</v>
      </c>
      <c r="E55">
        <v>50.93</v>
      </c>
      <c r="F55" s="6">
        <f t="shared" si="0"/>
        <v>50.93</v>
      </c>
    </row>
    <row r="56" spans="4:6">
      <c r="D56" s="2">
        <v>50</v>
      </c>
      <c r="E56">
        <v>50.54</v>
      </c>
      <c r="F56" s="6">
        <f t="shared" si="0"/>
        <v>50.54</v>
      </c>
    </row>
    <row r="57" spans="4:6">
      <c r="D57" s="2">
        <v>49</v>
      </c>
      <c r="E57">
        <v>50.17</v>
      </c>
      <c r="F57" s="6">
        <f t="shared" si="0"/>
        <v>50.17</v>
      </c>
    </row>
    <row r="58" spans="4:6">
      <c r="D58" s="2">
        <v>48</v>
      </c>
      <c r="E58">
        <v>49.82</v>
      </c>
      <c r="F58" s="6">
        <f t="shared" si="0"/>
        <v>49.82</v>
      </c>
    </row>
    <row r="59" spans="4:6">
      <c r="D59" s="2">
        <v>47</v>
      </c>
      <c r="E59">
        <v>49.42</v>
      </c>
      <c r="F59" s="6">
        <f t="shared" si="0"/>
        <v>49.42</v>
      </c>
    </row>
    <row r="60" spans="4:6">
      <c r="D60" s="2">
        <v>46</v>
      </c>
      <c r="E60">
        <v>48.99</v>
      </c>
      <c r="F60" s="6">
        <f t="shared" si="0"/>
        <v>48.99</v>
      </c>
    </row>
    <row r="61" spans="4:6">
      <c r="D61" s="4">
        <v>45</v>
      </c>
      <c r="E61">
        <v>48.63</v>
      </c>
      <c r="F61" s="6">
        <f t="shared" si="0"/>
        <v>48.63</v>
      </c>
    </row>
    <row r="62" spans="4:6">
      <c r="D62" s="2">
        <v>44</v>
      </c>
      <c r="E62">
        <v>48.28</v>
      </c>
      <c r="F62" s="6">
        <f t="shared" si="0"/>
        <v>48.28</v>
      </c>
    </row>
    <row r="63" spans="4:6">
      <c r="D63" s="2">
        <v>43</v>
      </c>
      <c r="E63">
        <v>47.88</v>
      </c>
      <c r="F63" s="6">
        <f t="shared" si="0"/>
        <v>47.88</v>
      </c>
    </row>
    <row r="64" spans="4:6">
      <c r="D64" s="2">
        <v>42</v>
      </c>
      <c r="E64">
        <v>47.48</v>
      </c>
      <c r="F64" s="6">
        <f t="shared" si="0"/>
        <v>47.48</v>
      </c>
    </row>
    <row r="65" spans="4:6">
      <c r="D65" s="2">
        <v>41</v>
      </c>
      <c r="E65">
        <v>47.13</v>
      </c>
      <c r="F65" s="6">
        <f t="shared" si="0"/>
        <v>47.13</v>
      </c>
    </row>
    <row r="66" spans="4:6">
      <c r="D66" s="2">
        <v>40</v>
      </c>
      <c r="E66">
        <v>46.78</v>
      </c>
      <c r="F66" s="6">
        <f t="shared" si="0"/>
        <v>46.78</v>
      </c>
    </row>
    <row r="67" spans="4:6">
      <c r="D67" s="2">
        <v>39</v>
      </c>
      <c r="E67">
        <v>46.46</v>
      </c>
      <c r="F67" s="6">
        <f t="shared" si="0"/>
        <v>46.46</v>
      </c>
    </row>
    <row r="68" spans="4:6">
      <c r="D68" s="2">
        <v>38</v>
      </c>
      <c r="E68">
        <v>46.08</v>
      </c>
      <c r="F68" s="6">
        <f t="shared" si="0"/>
        <v>46.08</v>
      </c>
    </row>
    <row r="69" spans="4:6">
      <c r="D69" s="2">
        <v>37</v>
      </c>
      <c r="E69">
        <v>45.69</v>
      </c>
      <c r="F69" s="6">
        <f t="shared" si="0"/>
        <v>45.69</v>
      </c>
    </row>
    <row r="70" spans="4:6">
      <c r="D70" s="2">
        <v>36</v>
      </c>
      <c r="E70">
        <v>45.32</v>
      </c>
      <c r="F70" s="6">
        <f t="shared" si="0"/>
        <v>45.32</v>
      </c>
    </row>
    <row r="71" spans="4:6">
      <c r="D71" s="2">
        <v>35</v>
      </c>
      <c r="E71">
        <v>44.96</v>
      </c>
      <c r="F71" s="6">
        <f t="shared" ref="F71:F106" si="1">ROUND(E71,2)</f>
        <v>44.96</v>
      </c>
    </row>
    <row r="72" spans="4:6">
      <c r="D72" s="4">
        <v>34</v>
      </c>
      <c r="E72">
        <v>44.6</v>
      </c>
      <c r="F72" s="6">
        <f t="shared" si="1"/>
        <v>44.6</v>
      </c>
    </row>
    <row r="73" spans="4:6">
      <c r="D73" s="2">
        <v>33</v>
      </c>
      <c r="E73">
        <v>44.23</v>
      </c>
      <c r="F73" s="6">
        <f t="shared" si="1"/>
        <v>44.23</v>
      </c>
    </row>
    <row r="74" spans="4:6">
      <c r="D74" s="2">
        <v>32</v>
      </c>
      <c r="E74">
        <v>43.9</v>
      </c>
      <c r="F74" s="6">
        <f t="shared" si="1"/>
        <v>43.9</v>
      </c>
    </row>
    <row r="75" spans="4:6">
      <c r="D75" s="2">
        <v>31</v>
      </c>
      <c r="E75">
        <v>43.57</v>
      </c>
      <c r="F75" s="6">
        <f t="shared" si="1"/>
        <v>43.57</v>
      </c>
    </row>
    <row r="76" spans="4:6">
      <c r="D76" s="2">
        <v>30</v>
      </c>
      <c r="E76">
        <v>43.26</v>
      </c>
      <c r="F76" s="6">
        <f t="shared" si="1"/>
        <v>43.26</v>
      </c>
    </row>
    <row r="77" spans="4:6">
      <c r="D77" s="2">
        <v>29</v>
      </c>
      <c r="E77">
        <v>42.97</v>
      </c>
      <c r="F77" s="6">
        <f t="shared" si="1"/>
        <v>42.97</v>
      </c>
    </row>
    <row r="78" spans="4:6">
      <c r="D78" s="2">
        <v>28</v>
      </c>
      <c r="E78">
        <v>42.63</v>
      </c>
      <c r="F78" s="6">
        <f t="shared" si="1"/>
        <v>42.63</v>
      </c>
    </row>
    <row r="79" spans="4:6">
      <c r="D79" s="2">
        <v>27</v>
      </c>
      <c r="E79">
        <v>42.28</v>
      </c>
      <c r="F79" s="6">
        <f t="shared" si="1"/>
        <v>42.28</v>
      </c>
    </row>
    <row r="80" spans="4:6">
      <c r="D80" s="2">
        <v>26</v>
      </c>
      <c r="E80">
        <v>41.94</v>
      </c>
      <c r="F80" s="6">
        <f t="shared" si="1"/>
        <v>41.94</v>
      </c>
    </row>
    <row r="81" spans="4:6">
      <c r="D81" s="2">
        <v>25</v>
      </c>
      <c r="E81">
        <v>41.59</v>
      </c>
      <c r="F81" s="6">
        <f t="shared" si="1"/>
        <v>41.59</v>
      </c>
    </row>
    <row r="82" spans="4:6">
      <c r="D82" s="2">
        <v>24</v>
      </c>
      <c r="E82">
        <v>41.25</v>
      </c>
      <c r="F82" s="6">
        <f t="shared" si="1"/>
        <v>41.25</v>
      </c>
    </row>
    <row r="83" spans="4:6">
      <c r="D83" s="4">
        <v>23</v>
      </c>
      <c r="E83">
        <v>40.9</v>
      </c>
      <c r="F83" s="6">
        <f t="shared" si="1"/>
        <v>40.9</v>
      </c>
    </row>
    <row r="84" spans="4:6">
      <c r="D84" s="2">
        <v>22</v>
      </c>
      <c r="E84">
        <v>40.54</v>
      </c>
      <c r="F84" s="6">
        <f t="shared" si="1"/>
        <v>40.54</v>
      </c>
    </row>
    <row r="85" spans="4:6">
      <c r="D85" s="2">
        <v>21</v>
      </c>
      <c r="E85">
        <v>40.18</v>
      </c>
      <c r="F85" s="6">
        <f t="shared" si="1"/>
        <v>40.18</v>
      </c>
    </row>
    <row r="86" spans="4:6">
      <c r="D86" s="2">
        <v>20</v>
      </c>
      <c r="E86">
        <v>39.840000000000003</v>
      </c>
      <c r="F86" s="6">
        <f t="shared" si="1"/>
        <v>39.840000000000003</v>
      </c>
    </row>
    <row r="87" spans="4:6">
      <c r="D87" s="2">
        <v>19</v>
      </c>
      <c r="E87">
        <v>39.49</v>
      </c>
      <c r="F87" s="6">
        <f t="shared" si="1"/>
        <v>39.49</v>
      </c>
    </row>
    <row r="88" spans="4:6">
      <c r="D88" s="2">
        <v>18</v>
      </c>
      <c r="E88">
        <v>39.130000000000003</v>
      </c>
      <c r="F88" s="6">
        <f t="shared" si="1"/>
        <v>39.130000000000003</v>
      </c>
    </row>
    <row r="89" spans="4:6">
      <c r="D89" s="2">
        <v>17</v>
      </c>
      <c r="E89">
        <v>38.76</v>
      </c>
      <c r="F89" s="6">
        <f t="shared" si="1"/>
        <v>38.76</v>
      </c>
    </row>
    <row r="90" spans="4:6">
      <c r="D90" s="2">
        <v>16</v>
      </c>
      <c r="E90">
        <v>38.39</v>
      </c>
      <c r="F90" s="6">
        <f t="shared" si="1"/>
        <v>38.39</v>
      </c>
    </row>
    <row r="91" spans="4:6">
      <c r="D91" s="2">
        <v>15</v>
      </c>
      <c r="E91">
        <v>38.04</v>
      </c>
      <c r="F91" s="6">
        <f t="shared" si="1"/>
        <v>38.04</v>
      </c>
    </row>
    <row r="92" spans="4:6">
      <c r="D92" s="2">
        <v>14</v>
      </c>
      <c r="E92">
        <v>37.659999999999997</v>
      </c>
      <c r="F92" s="6">
        <f t="shared" si="1"/>
        <v>37.659999999999997</v>
      </c>
    </row>
    <row r="93" spans="4:6">
      <c r="D93" s="2">
        <v>13</v>
      </c>
      <c r="E93">
        <v>37.28</v>
      </c>
      <c r="F93" s="6">
        <f t="shared" si="1"/>
        <v>37.28</v>
      </c>
    </row>
    <row r="94" spans="4:6">
      <c r="D94" s="4">
        <v>12</v>
      </c>
      <c r="E94">
        <v>36.93</v>
      </c>
      <c r="F94" s="6">
        <f t="shared" si="1"/>
        <v>36.93</v>
      </c>
    </row>
    <row r="95" spans="4:6">
      <c r="D95" s="2">
        <v>11</v>
      </c>
      <c r="E95">
        <v>36.590000000000003</v>
      </c>
      <c r="F95" s="6">
        <f t="shared" si="1"/>
        <v>36.590000000000003</v>
      </c>
    </row>
    <row r="96" spans="4:6">
      <c r="D96" s="2">
        <v>10</v>
      </c>
      <c r="E96">
        <v>36.17</v>
      </c>
      <c r="F96" s="6">
        <f t="shared" si="1"/>
        <v>36.17</v>
      </c>
    </row>
    <row r="97" spans="4:6">
      <c r="D97" s="2">
        <v>9</v>
      </c>
      <c r="E97">
        <v>35.799999999999997</v>
      </c>
      <c r="F97" s="6">
        <f t="shared" si="1"/>
        <v>35.799999999999997</v>
      </c>
    </row>
    <row r="98" spans="4:6">
      <c r="D98" s="2">
        <v>8</v>
      </c>
      <c r="E98">
        <v>35.43</v>
      </c>
      <c r="F98" s="6">
        <f t="shared" si="1"/>
        <v>35.43</v>
      </c>
    </row>
    <row r="99" spans="4:6">
      <c r="D99" s="2">
        <v>7</v>
      </c>
      <c r="E99">
        <v>34.979999999999997</v>
      </c>
      <c r="F99" s="6">
        <f t="shared" si="1"/>
        <v>34.979999999999997</v>
      </c>
    </row>
    <row r="100" spans="4:6">
      <c r="D100" s="2">
        <v>6</v>
      </c>
      <c r="E100">
        <v>34.47</v>
      </c>
      <c r="F100" s="6">
        <f t="shared" si="1"/>
        <v>34.47</v>
      </c>
    </row>
    <row r="101" spans="4:6">
      <c r="D101" s="2">
        <v>5</v>
      </c>
      <c r="E101">
        <v>33.93</v>
      </c>
      <c r="F101" s="6">
        <f t="shared" si="1"/>
        <v>33.93</v>
      </c>
    </row>
    <row r="102" spans="4:6">
      <c r="D102" s="2">
        <v>4</v>
      </c>
      <c r="E102">
        <v>33.35</v>
      </c>
      <c r="F102" s="6">
        <f t="shared" si="1"/>
        <v>33.35</v>
      </c>
    </row>
    <row r="103" spans="4:6">
      <c r="D103" s="2">
        <v>3</v>
      </c>
      <c r="E103">
        <v>32.450000000000003</v>
      </c>
      <c r="F103" s="6">
        <f t="shared" si="1"/>
        <v>32.450000000000003</v>
      </c>
    </row>
    <row r="104" spans="4:6">
      <c r="D104" s="2">
        <v>2</v>
      </c>
      <c r="E104">
        <v>31.6</v>
      </c>
      <c r="F104" s="6">
        <f t="shared" si="1"/>
        <v>31.6</v>
      </c>
    </row>
    <row r="105" spans="4:6">
      <c r="D105" s="4">
        <v>1</v>
      </c>
      <c r="E105">
        <v>30.5</v>
      </c>
      <c r="F105" s="6">
        <f t="shared" si="1"/>
        <v>30.5</v>
      </c>
    </row>
    <row r="106" spans="4:6">
      <c r="D106" s="2">
        <v>0</v>
      </c>
      <c r="E106">
        <v>0</v>
      </c>
      <c r="F106" s="6">
        <f t="shared" si="1"/>
        <v>0</v>
      </c>
    </row>
  </sheetData>
  <sheetProtection algorithmName="SHA-512" hashValue="O5TRjMhRvYttxutAlzeb/etL7/TV83hbUSoDhPzkTFBNs00eJR2Phv+zFu0PuFXyCiIXlKSMkFPNyEm89JcxcQ==" saltValue="z8K0vaicrg6Yd4AnzTgVGg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XFD28"/>
  <sheetViews>
    <sheetView workbookViewId="0">
      <selection activeCell="N7" sqref="N7"/>
    </sheetView>
  </sheetViews>
  <sheetFormatPr defaultRowHeight="16.5"/>
  <cols>
    <col min="1" max="1" width="15.875" customWidth="1"/>
    <col min="4" max="4" width="9" style="8"/>
  </cols>
  <sheetData>
    <row r="2" spans="1:17">
      <c r="A2" t="s">
        <v>31</v>
      </c>
      <c r="B2">
        <f>계산내역상세!F5</f>
        <v>60</v>
      </c>
      <c r="C2" s="8">
        <f>계산내역상세!G5</f>
        <v>66</v>
      </c>
      <c r="D2" s="8">
        <f>계산내역상세!H5</f>
        <v>0</v>
      </c>
    </row>
    <row r="3" spans="1:17">
      <c r="A3" t="s">
        <v>32</v>
      </c>
      <c r="B3">
        <f>계산내역상세!F6</f>
        <v>75</v>
      </c>
      <c r="C3" s="8">
        <f>계산내역상세!G6</f>
        <v>98</v>
      </c>
      <c r="D3" s="8">
        <f>계산내역상세!H6</f>
        <v>0</v>
      </c>
    </row>
    <row r="4" spans="1:17">
      <c r="B4" s="9" t="s">
        <v>35</v>
      </c>
      <c r="C4" s="9" t="s">
        <v>36</v>
      </c>
      <c r="D4" s="9" t="s">
        <v>34</v>
      </c>
    </row>
    <row r="5" spans="1:17">
      <c r="A5" s="10" t="s">
        <v>1</v>
      </c>
      <c r="E5" t="s">
        <v>33</v>
      </c>
    </row>
    <row r="6" spans="1:17">
      <c r="A6" s="10" t="s">
        <v>3</v>
      </c>
      <c r="B6">
        <f>VLOOKUP($B$3,대학별탐구변환표준점수!$A:$C,2,FALSE)</f>
        <v>58.76</v>
      </c>
      <c r="C6" s="8">
        <f>VLOOKUP(C$3,대학별탐구변환표준점수!$A:$C,2,FALSE)</f>
        <v>65.92</v>
      </c>
      <c r="D6" s="8">
        <f>VLOOKUP(D$3,대학별탐구변환표준점수!$A:$C,3,FALSE)</f>
        <v>28.9</v>
      </c>
      <c r="E6" t="s">
        <v>33</v>
      </c>
    </row>
    <row r="7" spans="1:17">
      <c r="A7" s="10" t="s">
        <v>45</v>
      </c>
      <c r="B7" s="8">
        <f>VLOOKUP(B$3,대학별탐구변환표준점수!$D:$F,2,FALSE)</f>
        <v>58.75</v>
      </c>
      <c r="C7" s="8">
        <f>VLOOKUP(C$3,대학별탐구변환표준점수!$D:$F,2,FALSE)</f>
        <v>65.849999999999994</v>
      </c>
      <c r="D7" s="8">
        <f>VLOOKUP(D$3,대학별탐구변환표준점수!$D:$F,3,FALSE)</f>
        <v>33.659999999999997</v>
      </c>
      <c r="E7" t="s">
        <v>33</v>
      </c>
      <c r="H7" t="s">
        <v>48</v>
      </c>
      <c r="I7">
        <f>계산내역상세!C5+계산내역상세!D5+계산내역상세!E5+(탐구계산Sheet!B7+탐구계산Sheet!C7)*0.5</f>
        <v>465.3</v>
      </c>
      <c r="J7" t="s">
        <v>49</v>
      </c>
      <c r="K7">
        <f>IF(D3="",0,계산내역상세!C5+계산내역상세!D5+계산내역상세!E5+(MAX(탐구계산Sheet!B7,탐구계산Sheet!C7)+D7)*0.5)</f>
        <v>452.755</v>
      </c>
      <c r="M7" s="8" t="s">
        <v>48</v>
      </c>
      <c r="N7">
        <f>계산내역상세!C4+계산내역상세!D4+계산내역상세!E4+(대학별탐구변환표준점수!E3+대학별탐구변환표준점수!E3)*0.5</f>
        <v>476.4</v>
      </c>
      <c r="O7" s="8" t="s">
        <v>49</v>
      </c>
      <c r="P7">
        <f>계산내역상세!C4+계산내역상세!D4+계산내역상세!E4+(대학별탐구변환표준점수!E3+대학별탐구변환표준점수!F3)*0.5</f>
        <v>479.86500000000001</v>
      </c>
      <c r="Q7">
        <f>IF(I7/N7&gt;K7/P7,N7,P7)</f>
        <v>476.4</v>
      </c>
    </row>
    <row r="8" spans="1:17">
      <c r="A8" s="10" t="s">
        <v>46</v>
      </c>
      <c r="B8" s="8">
        <f>B9</f>
        <v>58.76</v>
      </c>
      <c r="C8" s="8">
        <f>C9</f>
        <v>65.849999999999994</v>
      </c>
      <c r="D8" s="13">
        <f>D9</f>
        <v>28.9</v>
      </c>
      <c r="E8" t="s">
        <v>33</v>
      </c>
    </row>
    <row r="9" spans="1:17">
      <c r="A9" s="10" t="s">
        <v>47</v>
      </c>
      <c r="B9" s="8">
        <f>VLOOKUP(B$3,대학별탐구변환표준점수!$G:$I,2,FALSE)</f>
        <v>58.76</v>
      </c>
      <c r="C9" s="8">
        <f>VLOOKUP(C$3,대학별탐구변환표준점수!$G:$I,2,FALSE)</f>
        <v>65.849999999999994</v>
      </c>
      <c r="D9" s="13">
        <f>VLOOKUP(D$3,대학별탐구변환표준점수!$G:$I,3,FALSE)</f>
        <v>28.9</v>
      </c>
      <c r="E9" t="s">
        <v>33</v>
      </c>
      <c r="J9">
        <f>500*I7/N7</f>
        <v>488.35012594458442</v>
      </c>
      <c r="K9" s="8"/>
      <c r="L9" s="8">
        <f>500*K7/P7</f>
        <v>471.75247204943054</v>
      </c>
    </row>
    <row r="10" spans="1:17">
      <c r="A10" s="10" t="s">
        <v>8</v>
      </c>
      <c r="B10" s="8">
        <f>VLOOKUP($B$3,대학별탐구변환표준점수!$J:$K,2,FALSE)</f>
        <v>59.65</v>
      </c>
      <c r="C10" s="8">
        <f>VLOOKUP($C$3,대학별탐구변환표준점수!$J:$K,2,FALSE)</f>
        <v>66.11</v>
      </c>
      <c r="E10" t="s">
        <v>33</v>
      </c>
    </row>
    <row r="11" spans="1:17">
      <c r="A11" s="10" t="s">
        <v>9</v>
      </c>
      <c r="B11" s="8">
        <f>B10</f>
        <v>59.65</v>
      </c>
      <c r="C11" s="8">
        <f>C10</f>
        <v>66.11</v>
      </c>
      <c r="D11" s="8">
        <f>VLOOKUP($D$3,대학별탐구변환표준점수!$J:$L,3,FALSE)</f>
        <v>29.8</v>
      </c>
      <c r="E11" t="s">
        <v>33</v>
      </c>
    </row>
    <row r="12" spans="1:17">
      <c r="A12" s="10" t="s">
        <v>50</v>
      </c>
      <c r="B12" s="8">
        <f>VLOOKUP(B$3,대학별탐구변환표준점수!$M:$O,2,FALSE)</f>
        <v>58.74</v>
      </c>
      <c r="C12" s="8">
        <f>VLOOKUP(C$3,대학별탐구변환표준점수!$M:$O,2,FALSE)</f>
        <v>65.849999999999994</v>
      </c>
      <c r="D12" s="8">
        <f>VLOOKUP(D$3,대학별탐구변환표준점수!$M:$O,3,FALSE)</f>
        <v>28.8</v>
      </c>
      <c r="E12" t="s">
        <v>33</v>
      </c>
    </row>
    <row r="13" spans="1:17" s="8" customFormat="1">
      <c r="A13" s="10" t="s">
        <v>53</v>
      </c>
      <c r="B13" s="8">
        <f>B12</f>
        <v>58.74</v>
      </c>
      <c r="C13" s="8">
        <f>C12</f>
        <v>65.849999999999994</v>
      </c>
      <c r="D13" s="8">
        <f>D12</f>
        <v>28.8</v>
      </c>
      <c r="E13" s="8" t="s">
        <v>54</v>
      </c>
    </row>
    <row r="14" spans="1:17">
      <c r="A14" s="10" t="s">
        <v>56</v>
      </c>
      <c r="B14" s="8">
        <f>VLOOKUP($B$3,대학별탐구변환표준점수!$P:$Q,2,FALSE)</f>
        <v>58.76</v>
      </c>
      <c r="C14" s="8">
        <f>VLOOKUP($C$3,대학별탐구변환표준점수!$P:$Q,2,FALSE)</f>
        <v>65.849999999999994</v>
      </c>
      <c r="D14" s="8">
        <f>VLOOKUP($D$3,대학별탐구변환표준점수!$P:$R,3,FALSE)</f>
        <v>28.9</v>
      </c>
      <c r="E14" t="s">
        <v>33</v>
      </c>
    </row>
    <row r="15" spans="1:17" s="8" customFormat="1">
      <c r="A15" s="10" t="s">
        <v>55</v>
      </c>
      <c r="B15" s="8">
        <f>VLOOKUP($B$3,대학별탐구변환표준점수!$P:$Q,2,FALSE)</f>
        <v>58.76</v>
      </c>
      <c r="C15" s="8">
        <f>VLOOKUP($C$3,대학별탐구변환표준점수!$P:$Q,2,FALSE)</f>
        <v>65.849999999999994</v>
      </c>
      <c r="D15" s="8">
        <f>VLOOKUP($D$3,대학별탐구변환표준점수!$P:$R,3,FALSE)</f>
        <v>28.9</v>
      </c>
      <c r="E15" s="8" t="s">
        <v>33</v>
      </c>
    </row>
    <row r="16" spans="1:17">
      <c r="A16" s="10" t="s">
        <v>11</v>
      </c>
      <c r="B16" s="8">
        <f>VLOOKUP($B$3,대학별탐구변환표준점수!$S:$T,2,FALSE)</f>
        <v>58.75</v>
      </c>
      <c r="C16" s="8">
        <f>VLOOKUP($C$3,대학별탐구변환표준점수!$S:$T,2,FALSE)</f>
        <v>65.849999999999994</v>
      </c>
      <c r="D16" s="8">
        <f>VLOOKUP($D$3,대학별탐구변환표준점수!$S:$U,3,FALSE)</f>
        <v>28.9</v>
      </c>
      <c r="E16" t="s">
        <v>33</v>
      </c>
    </row>
    <row r="17" spans="1:16384">
      <c r="A17" s="10" t="s">
        <v>59</v>
      </c>
      <c r="B17" s="8"/>
      <c r="C17" s="8"/>
      <c r="E17" t="s">
        <v>33</v>
      </c>
    </row>
    <row r="18" spans="1:16384">
      <c r="A18" s="10" t="s">
        <v>12</v>
      </c>
      <c r="B18" s="8">
        <f>VLOOKUP($B$3,대학별탐구변환표준점수!$V:$W,2,FALSE)</f>
        <v>44.24</v>
      </c>
      <c r="C18" s="8">
        <f>VLOOKUP(C$3,대학별탐구변환표준점수!$V:$W,2,FALSE)</f>
        <v>49.59</v>
      </c>
      <c r="D18" s="8">
        <f>VLOOKUP(D$3,대학별탐구변환표준점수!$V:$X,3,FALSE)</f>
        <v>0</v>
      </c>
      <c r="E18" t="s">
        <v>33</v>
      </c>
      <c r="N18">
        <f>IF(N20&gt;O19,0,1)</f>
        <v>1</v>
      </c>
      <c r="O18">
        <f>IF(N20&gt;O20,0,1)</f>
        <v>0</v>
      </c>
    </row>
    <row r="19" spans="1:16384">
      <c r="A19" s="10" t="s">
        <v>19</v>
      </c>
      <c r="B19" s="8">
        <f>VLOOKUP($B$3,대학별탐구변환표준점수!$Y:$Z,2,FALSE)</f>
        <v>58.76</v>
      </c>
      <c r="C19" s="8">
        <f>VLOOKUP($C$3,대학별탐구변환표준점수!$Y:$AA,2,FALSE)</f>
        <v>66.37</v>
      </c>
      <c r="D19" s="8">
        <f>VLOOKUP($D$3,대학별탐구변환표준점수!$Y:$AA,3,FALSE)</f>
        <v>28.9</v>
      </c>
      <c r="E19" t="s">
        <v>33</v>
      </c>
      <c r="H19">
        <f>계산내역상세!C4*0.25+계산내역상세!D4*0.2+계산내역상세!E4*0.35+(대학별탐구변환표준점수!Z3+대학별탐구변환표준점수!Z3)*0.2</f>
        <v>135.76599999999999</v>
      </c>
      <c r="K19" t="s">
        <v>225</v>
      </c>
      <c r="L19" t="s">
        <v>226</v>
      </c>
      <c r="N19" t="s">
        <v>227</v>
      </c>
      <c r="O19" t="s">
        <v>224</v>
      </c>
    </row>
    <row r="20" spans="1:16384" s="8" customFormat="1">
      <c r="A20" s="10" t="s">
        <v>221</v>
      </c>
      <c r="B20" s="106">
        <f>B19</f>
        <v>58.76</v>
      </c>
      <c r="C20" s="106">
        <f>C19</f>
        <v>66.37</v>
      </c>
      <c r="D20" s="106">
        <f>D19</f>
        <v>28.9</v>
      </c>
      <c r="E20" s="106" t="s">
        <v>222</v>
      </c>
      <c r="F20" s="87"/>
      <c r="G20" s="87"/>
      <c r="H20" s="8">
        <f>계산내역상세!C5*0.4+계산내역상세!D5*0.35+(SUM(B20:D20)-MIN(B20:D20))*0.25</f>
        <v>133.73250000000002</v>
      </c>
      <c r="I20" s="87">
        <f>계산내역상세!D5*0.35+계산내역상세!E5*0.4+(SUM(B20:D20)-MIN(B20:D20))*0.25</f>
        <v>132.9325</v>
      </c>
      <c r="J20" s="87"/>
      <c r="K20" s="87">
        <f>계산내역상세!C4*0.4+계산내역상세!D4*0.35+(대학별탐구변환표준점수!Z3+대학별탐구변환표준점수!Z3)*0.25</f>
        <v>135.97</v>
      </c>
      <c r="L20" s="87">
        <f>계산내역상세!D4*0.35+계산내역상세!E4*0.4+(대학별탐구변환표준점수!Z3+대학별탐구변환표준점수!Z3)*0.25</f>
        <v>137.97</v>
      </c>
      <c r="M20" s="87"/>
      <c r="N20" s="87">
        <f>H20/K20</f>
        <v>0.98354416415385759</v>
      </c>
      <c r="O20" s="87">
        <f>I20/L20</f>
        <v>0.96348843951583685</v>
      </c>
      <c r="P20" s="87">
        <f>IF(N20&gt;O20,K20,L20)</f>
        <v>135.97</v>
      </c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87"/>
      <c r="IF20" s="87"/>
      <c r="IG20" s="87"/>
      <c r="IH20" s="87"/>
      <c r="II20" s="87"/>
      <c r="IJ20" s="87"/>
      <c r="IK20" s="87"/>
      <c r="IL20" s="87"/>
      <c r="IM20" s="87"/>
      <c r="IN20" s="87"/>
      <c r="IO20" s="87"/>
      <c r="IP20" s="87"/>
      <c r="IQ20" s="87"/>
      <c r="IR20" s="87"/>
      <c r="IS20" s="87"/>
      <c r="IT20" s="87"/>
      <c r="IU20" s="87"/>
      <c r="IV20" s="87"/>
      <c r="IW20" s="87"/>
      <c r="IX20" s="87"/>
      <c r="IY20" s="87"/>
      <c r="IZ20" s="87"/>
      <c r="JA20" s="87"/>
      <c r="JB20" s="87"/>
      <c r="JC20" s="87"/>
      <c r="JD20" s="87"/>
      <c r="JE20" s="87"/>
      <c r="JF20" s="87"/>
      <c r="JG20" s="87"/>
      <c r="JH20" s="87"/>
      <c r="JI20" s="87"/>
      <c r="JJ20" s="87"/>
      <c r="JK20" s="87"/>
      <c r="JL20" s="87"/>
      <c r="JM20" s="87"/>
      <c r="JN20" s="87"/>
      <c r="JO20" s="87"/>
      <c r="JP20" s="87"/>
      <c r="JQ20" s="87"/>
      <c r="JR20" s="87"/>
      <c r="JS20" s="87"/>
      <c r="JT20" s="87"/>
      <c r="JU20" s="87"/>
      <c r="JV20" s="87"/>
      <c r="JW20" s="87"/>
      <c r="JX20" s="87"/>
      <c r="JY20" s="87"/>
      <c r="JZ20" s="87"/>
      <c r="KA20" s="87"/>
      <c r="KB20" s="87"/>
      <c r="KC20" s="87"/>
      <c r="KD20" s="87"/>
      <c r="KE20" s="87"/>
      <c r="KF20" s="87"/>
      <c r="KG20" s="87"/>
      <c r="KH20" s="87"/>
      <c r="KI20" s="87"/>
      <c r="KJ20" s="87"/>
      <c r="KK20" s="87"/>
      <c r="KL20" s="87"/>
      <c r="KM20" s="87"/>
      <c r="KN20" s="87"/>
      <c r="KO20" s="87"/>
      <c r="KP20" s="87"/>
      <c r="KQ20" s="87"/>
      <c r="KR20" s="87"/>
      <c r="KS20" s="87"/>
      <c r="KT20" s="87"/>
      <c r="KU20" s="87"/>
      <c r="KV20" s="87"/>
      <c r="KW20" s="87"/>
      <c r="KX20" s="87"/>
      <c r="KY20" s="87"/>
      <c r="KZ20" s="87"/>
      <c r="LA20" s="87"/>
      <c r="LB20" s="87"/>
      <c r="LC20" s="87"/>
      <c r="LD20" s="87"/>
      <c r="LE20" s="87"/>
      <c r="LF20" s="87"/>
      <c r="LG20" s="87"/>
      <c r="LH20" s="87"/>
      <c r="LI20" s="87"/>
      <c r="LJ20" s="87"/>
      <c r="LK20" s="87"/>
      <c r="LL20" s="87"/>
      <c r="LM20" s="87"/>
      <c r="LN20" s="87"/>
      <c r="LO20" s="87"/>
      <c r="LP20" s="87"/>
      <c r="LQ20" s="87"/>
      <c r="LR20" s="87"/>
      <c r="LS20" s="87"/>
      <c r="LT20" s="87"/>
      <c r="LU20" s="87"/>
      <c r="LV20" s="87"/>
      <c r="LW20" s="87"/>
      <c r="LX20" s="87"/>
      <c r="LY20" s="87"/>
      <c r="LZ20" s="87"/>
      <c r="MA20" s="87"/>
      <c r="MB20" s="87"/>
      <c r="MC20" s="87"/>
      <c r="MD20" s="87"/>
      <c r="ME20" s="87"/>
      <c r="MF20" s="87"/>
      <c r="MG20" s="87"/>
      <c r="MH20" s="87"/>
      <c r="MI20" s="87"/>
      <c r="MJ20" s="87"/>
      <c r="MK20" s="87"/>
      <c r="ML20" s="87"/>
      <c r="MM20" s="87"/>
      <c r="MN20" s="87"/>
      <c r="MO20" s="87"/>
      <c r="MP20" s="87"/>
      <c r="MQ20" s="87"/>
      <c r="MR20" s="87"/>
      <c r="MS20" s="87"/>
      <c r="MT20" s="87"/>
      <c r="MU20" s="87"/>
      <c r="MV20" s="87"/>
      <c r="MW20" s="87"/>
      <c r="MX20" s="87"/>
      <c r="MY20" s="87"/>
      <c r="MZ20" s="87"/>
      <c r="NA20" s="87"/>
      <c r="NB20" s="87"/>
      <c r="NC20" s="87"/>
      <c r="ND20" s="87"/>
      <c r="NE20" s="87"/>
      <c r="NF20" s="87"/>
      <c r="NG20" s="87"/>
      <c r="NH20" s="87"/>
      <c r="NI20" s="87"/>
      <c r="NJ20" s="87"/>
      <c r="NK20" s="87"/>
      <c r="NL20" s="87"/>
      <c r="NM20" s="87"/>
      <c r="NN20" s="87"/>
      <c r="NO20" s="87"/>
      <c r="NP20" s="87"/>
      <c r="NQ20" s="87"/>
      <c r="NR20" s="87"/>
      <c r="NS20" s="87"/>
      <c r="NT20" s="87"/>
      <c r="NU20" s="87"/>
      <c r="NV20" s="87"/>
      <c r="NW20" s="87"/>
      <c r="NX20" s="87"/>
      <c r="NY20" s="87"/>
      <c r="NZ20" s="87"/>
      <c r="OA20" s="87"/>
      <c r="OB20" s="87"/>
      <c r="OC20" s="87"/>
      <c r="OD20" s="87"/>
      <c r="OE20" s="87"/>
      <c r="OF20" s="87"/>
      <c r="OG20" s="87"/>
      <c r="OH20" s="87"/>
      <c r="OI20" s="87"/>
      <c r="OJ20" s="87"/>
      <c r="OK20" s="87"/>
      <c r="OL20" s="87"/>
      <c r="OM20" s="87"/>
      <c r="ON20" s="87"/>
      <c r="OO20" s="87"/>
      <c r="OP20" s="87"/>
      <c r="OQ20" s="87"/>
      <c r="OR20" s="87"/>
      <c r="OS20" s="87"/>
      <c r="OT20" s="87"/>
      <c r="OU20" s="87"/>
      <c r="OV20" s="87"/>
      <c r="OW20" s="87"/>
      <c r="OX20" s="87"/>
      <c r="OY20" s="87"/>
      <c r="OZ20" s="87"/>
      <c r="PA20" s="87"/>
      <c r="PB20" s="87"/>
      <c r="PC20" s="87"/>
      <c r="PD20" s="87"/>
      <c r="PE20" s="87"/>
      <c r="PF20" s="87"/>
      <c r="PG20" s="87"/>
      <c r="PH20" s="87"/>
      <c r="PI20" s="87"/>
      <c r="PJ20" s="87"/>
      <c r="PK20" s="87"/>
      <c r="PL20" s="87"/>
      <c r="PM20" s="87"/>
      <c r="PN20" s="87"/>
      <c r="PO20" s="87"/>
      <c r="PP20" s="87"/>
      <c r="PQ20" s="87"/>
      <c r="PR20" s="87"/>
      <c r="PS20" s="87"/>
      <c r="PT20" s="87"/>
      <c r="PU20" s="87"/>
      <c r="PV20" s="87"/>
      <c r="PW20" s="87"/>
      <c r="PX20" s="87"/>
      <c r="PY20" s="87"/>
      <c r="PZ20" s="87"/>
      <c r="QA20" s="87"/>
      <c r="QB20" s="87"/>
      <c r="QC20" s="87"/>
      <c r="QD20" s="87"/>
      <c r="QE20" s="87"/>
      <c r="QF20" s="87"/>
      <c r="QG20" s="87"/>
      <c r="QH20" s="87"/>
      <c r="QI20" s="87"/>
      <c r="QJ20" s="87"/>
      <c r="QK20" s="87"/>
      <c r="QL20" s="87"/>
      <c r="QM20" s="87"/>
      <c r="QN20" s="87"/>
      <c r="QO20" s="87"/>
      <c r="QP20" s="87"/>
      <c r="QQ20" s="87"/>
      <c r="QR20" s="87"/>
      <c r="QS20" s="87"/>
      <c r="QT20" s="87"/>
      <c r="QU20" s="87"/>
      <c r="QV20" s="87"/>
      <c r="QW20" s="87"/>
      <c r="QX20" s="87"/>
      <c r="QY20" s="87"/>
      <c r="QZ20" s="87"/>
      <c r="RA20" s="87"/>
      <c r="RB20" s="87"/>
      <c r="RC20" s="87"/>
      <c r="RD20" s="87"/>
      <c r="RE20" s="87"/>
      <c r="RF20" s="87"/>
      <c r="RG20" s="87"/>
      <c r="RH20" s="87"/>
      <c r="RI20" s="87"/>
      <c r="RJ20" s="87"/>
      <c r="RK20" s="87"/>
      <c r="RL20" s="87"/>
      <c r="RM20" s="87"/>
      <c r="RN20" s="87"/>
      <c r="RO20" s="87"/>
      <c r="RP20" s="87"/>
      <c r="RQ20" s="87"/>
      <c r="RR20" s="87"/>
      <c r="RS20" s="87"/>
      <c r="RT20" s="87"/>
      <c r="RU20" s="87"/>
      <c r="RV20" s="87"/>
      <c r="RW20" s="87"/>
      <c r="RX20" s="87"/>
      <c r="RY20" s="87"/>
      <c r="RZ20" s="87"/>
      <c r="SA20" s="87"/>
      <c r="SB20" s="87"/>
      <c r="SC20" s="87"/>
      <c r="SD20" s="87"/>
      <c r="SE20" s="87"/>
      <c r="SF20" s="87"/>
      <c r="SG20" s="87"/>
      <c r="SH20" s="87"/>
      <c r="SI20" s="87"/>
      <c r="SJ20" s="87"/>
      <c r="SK20" s="87"/>
      <c r="SL20" s="87"/>
      <c r="SM20" s="87"/>
      <c r="SN20" s="87"/>
      <c r="SO20" s="87"/>
      <c r="SP20" s="87"/>
      <c r="SQ20" s="87"/>
      <c r="SR20" s="87"/>
      <c r="SS20" s="87"/>
      <c r="ST20" s="87"/>
      <c r="SU20" s="87"/>
      <c r="SV20" s="87"/>
      <c r="SW20" s="87"/>
      <c r="SX20" s="87"/>
      <c r="SY20" s="87"/>
      <c r="SZ20" s="87"/>
      <c r="TA20" s="87"/>
      <c r="TB20" s="87"/>
      <c r="TC20" s="87"/>
      <c r="TD20" s="87"/>
      <c r="TE20" s="87"/>
      <c r="TF20" s="87"/>
      <c r="TG20" s="87"/>
      <c r="TH20" s="87"/>
      <c r="TI20" s="87"/>
      <c r="TJ20" s="87"/>
      <c r="TK20" s="87"/>
      <c r="TL20" s="87"/>
      <c r="TM20" s="87"/>
      <c r="TN20" s="87"/>
      <c r="TO20" s="87"/>
      <c r="TP20" s="87"/>
      <c r="TQ20" s="87"/>
      <c r="TR20" s="87"/>
      <c r="TS20" s="87"/>
      <c r="TT20" s="87"/>
      <c r="TU20" s="87"/>
      <c r="TV20" s="87"/>
      <c r="TW20" s="87"/>
      <c r="TX20" s="87"/>
      <c r="TY20" s="87"/>
      <c r="TZ20" s="87"/>
      <c r="UA20" s="87"/>
      <c r="UB20" s="87"/>
      <c r="UC20" s="87"/>
      <c r="UD20" s="87"/>
      <c r="UE20" s="87"/>
      <c r="UF20" s="87"/>
      <c r="UG20" s="87"/>
      <c r="UH20" s="87"/>
      <c r="UI20" s="87"/>
      <c r="UJ20" s="87"/>
      <c r="UK20" s="87"/>
      <c r="UL20" s="87"/>
      <c r="UM20" s="87"/>
      <c r="UN20" s="87"/>
      <c r="UO20" s="87"/>
      <c r="UP20" s="87"/>
      <c r="UQ20" s="87"/>
      <c r="UR20" s="87"/>
      <c r="US20" s="87"/>
      <c r="UT20" s="87"/>
      <c r="UU20" s="87"/>
      <c r="UV20" s="87"/>
      <c r="UW20" s="87"/>
      <c r="UX20" s="87"/>
      <c r="UY20" s="87"/>
      <c r="UZ20" s="87"/>
      <c r="VA20" s="87"/>
      <c r="VB20" s="87"/>
      <c r="VC20" s="87"/>
      <c r="VD20" s="87"/>
      <c r="VE20" s="87"/>
      <c r="VF20" s="87"/>
      <c r="VG20" s="87"/>
      <c r="VH20" s="87"/>
      <c r="VI20" s="87"/>
      <c r="VJ20" s="87"/>
      <c r="VK20" s="87"/>
      <c r="VL20" s="87"/>
      <c r="VM20" s="87"/>
      <c r="VN20" s="87"/>
      <c r="VO20" s="87"/>
      <c r="VP20" s="87"/>
      <c r="VQ20" s="87"/>
      <c r="VR20" s="87"/>
      <c r="VS20" s="87"/>
      <c r="VT20" s="87"/>
      <c r="VU20" s="87"/>
      <c r="VV20" s="87"/>
      <c r="VW20" s="87"/>
      <c r="VX20" s="87"/>
      <c r="VY20" s="87"/>
      <c r="VZ20" s="87"/>
      <c r="WA20" s="87"/>
      <c r="WB20" s="87"/>
      <c r="WC20" s="87"/>
      <c r="WD20" s="87"/>
      <c r="WE20" s="87"/>
      <c r="WF20" s="87"/>
      <c r="WG20" s="87"/>
      <c r="WH20" s="87"/>
      <c r="WI20" s="87"/>
      <c r="WJ20" s="87"/>
      <c r="WK20" s="87"/>
      <c r="WL20" s="87"/>
      <c r="WM20" s="87"/>
      <c r="WN20" s="87"/>
      <c r="WO20" s="87"/>
      <c r="WP20" s="87"/>
      <c r="WQ20" s="87"/>
      <c r="WR20" s="87"/>
      <c r="WS20" s="87"/>
      <c r="WT20" s="87"/>
      <c r="WU20" s="87"/>
      <c r="WV20" s="87"/>
      <c r="WW20" s="87"/>
      <c r="WX20" s="87"/>
      <c r="WY20" s="87"/>
      <c r="WZ20" s="87"/>
      <c r="XA20" s="87"/>
      <c r="XB20" s="87"/>
      <c r="XC20" s="87"/>
      <c r="XD20" s="87"/>
      <c r="XE20" s="87"/>
      <c r="XF20" s="87"/>
      <c r="XG20" s="87"/>
      <c r="XH20" s="87"/>
      <c r="XI20" s="87"/>
      <c r="XJ20" s="87"/>
      <c r="XK20" s="87"/>
      <c r="XL20" s="87"/>
      <c r="XM20" s="87"/>
      <c r="XN20" s="87"/>
      <c r="XO20" s="87"/>
      <c r="XP20" s="87"/>
      <c r="XQ20" s="87"/>
      <c r="XR20" s="87"/>
      <c r="XS20" s="87"/>
      <c r="XT20" s="87"/>
      <c r="XU20" s="87"/>
      <c r="XV20" s="87"/>
      <c r="XW20" s="87"/>
      <c r="XX20" s="87"/>
      <c r="XY20" s="87"/>
      <c r="XZ20" s="87"/>
      <c r="YA20" s="87"/>
      <c r="YB20" s="87"/>
      <c r="YC20" s="87"/>
      <c r="YD20" s="87"/>
      <c r="YE20" s="87"/>
      <c r="YF20" s="87"/>
      <c r="YG20" s="87"/>
      <c r="YH20" s="87"/>
      <c r="YI20" s="87"/>
      <c r="YJ20" s="87"/>
      <c r="YK20" s="87"/>
      <c r="YL20" s="87"/>
      <c r="YM20" s="87"/>
      <c r="YN20" s="87"/>
      <c r="YO20" s="87"/>
      <c r="YP20" s="87"/>
      <c r="YQ20" s="87"/>
      <c r="YR20" s="87"/>
      <c r="YS20" s="87"/>
      <c r="YT20" s="87"/>
      <c r="YU20" s="87"/>
      <c r="YV20" s="87"/>
      <c r="YW20" s="87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7"/>
      <c r="ZK20" s="87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7"/>
      <c r="ZX20" s="87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87"/>
      <c r="AAK20" s="87"/>
      <c r="AAL20" s="87"/>
      <c r="AAM20" s="87"/>
      <c r="AAN20" s="87"/>
      <c r="AAO20" s="87"/>
      <c r="AAP20" s="87"/>
      <c r="AAQ20" s="87"/>
      <c r="AAR20" s="87"/>
      <c r="AAS20" s="87"/>
      <c r="AAT20" s="87"/>
      <c r="AAU20" s="87"/>
      <c r="AAV20" s="87"/>
      <c r="AAW20" s="87"/>
      <c r="AAX20" s="87"/>
      <c r="AAY20" s="87"/>
      <c r="AAZ20" s="87"/>
      <c r="ABA20" s="87"/>
      <c r="ABB20" s="87"/>
      <c r="ABC20" s="87"/>
      <c r="ABD20" s="87"/>
      <c r="ABE20" s="87"/>
      <c r="ABF20" s="87"/>
      <c r="ABG20" s="87"/>
      <c r="ABH20" s="87"/>
      <c r="ABI20" s="87"/>
      <c r="ABJ20" s="87"/>
      <c r="ABK20" s="87"/>
      <c r="ABL20" s="87"/>
      <c r="ABM20" s="87"/>
      <c r="ABN20" s="87"/>
      <c r="ABO20" s="87"/>
      <c r="ABP20" s="87"/>
      <c r="ABQ20" s="87"/>
      <c r="ABR20" s="87"/>
      <c r="ABS20" s="87"/>
      <c r="ABT20" s="87"/>
      <c r="ABU20" s="87"/>
      <c r="ABV20" s="87"/>
      <c r="ABW20" s="87"/>
      <c r="ABX20" s="87"/>
      <c r="ABY20" s="87"/>
      <c r="ABZ20" s="87"/>
      <c r="ACA20" s="87"/>
      <c r="ACB20" s="87"/>
      <c r="ACC20" s="87"/>
      <c r="ACD20" s="87"/>
      <c r="ACE20" s="87"/>
      <c r="ACF20" s="87"/>
      <c r="ACG20" s="87"/>
      <c r="ACH20" s="87"/>
      <c r="ACI20" s="87"/>
      <c r="ACJ20" s="87"/>
      <c r="ACK20" s="87"/>
      <c r="ACL20" s="87"/>
      <c r="ACM20" s="87"/>
      <c r="ACN20" s="87"/>
      <c r="ACO20" s="87"/>
      <c r="ACP20" s="87"/>
      <c r="ACQ20" s="87"/>
      <c r="ACR20" s="87"/>
      <c r="ACS20" s="87"/>
      <c r="ACT20" s="87"/>
      <c r="ACU20" s="87"/>
      <c r="ACV20" s="87"/>
      <c r="ACW20" s="87"/>
      <c r="ACX20" s="87"/>
      <c r="ACY20" s="87"/>
      <c r="ACZ20" s="87"/>
      <c r="ADA20" s="87"/>
      <c r="ADB20" s="87"/>
      <c r="ADC20" s="87"/>
      <c r="ADD20" s="87"/>
      <c r="ADE20" s="87"/>
      <c r="ADF20" s="87"/>
      <c r="ADG20" s="87"/>
      <c r="ADH20" s="87"/>
      <c r="ADI20" s="87"/>
      <c r="ADJ20" s="87"/>
      <c r="ADK20" s="87"/>
      <c r="ADL20" s="87"/>
      <c r="ADM20" s="87"/>
      <c r="ADN20" s="87"/>
      <c r="ADO20" s="87"/>
      <c r="ADP20" s="87"/>
      <c r="ADQ20" s="87"/>
      <c r="ADR20" s="87"/>
      <c r="ADS20" s="87"/>
      <c r="ADT20" s="87"/>
      <c r="ADU20" s="87"/>
      <c r="ADV20" s="87"/>
      <c r="ADW20" s="87"/>
      <c r="ADX20" s="87"/>
      <c r="ADY20" s="87"/>
      <c r="ADZ20" s="87"/>
      <c r="AEA20" s="87"/>
      <c r="AEB20" s="87"/>
      <c r="AEC20" s="87"/>
      <c r="AED20" s="87"/>
      <c r="AEE20" s="87"/>
      <c r="AEF20" s="87"/>
      <c r="AEG20" s="87"/>
      <c r="AEH20" s="87"/>
      <c r="AEI20" s="87"/>
      <c r="AEJ20" s="87"/>
      <c r="AEK20" s="87"/>
      <c r="AEL20" s="87"/>
      <c r="AEM20" s="87"/>
      <c r="AEN20" s="87"/>
      <c r="AEO20" s="87"/>
      <c r="AEP20" s="87"/>
      <c r="AEQ20" s="87"/>
      <c r="AER20" s="87"/>
      <c r="AES20" s="87"/>
      <c r="AET20" s="87"/>
      <c r="AEU20" s="87"/>
      <c r="AEV20" s="87"/>
      <c r="AEW20" s="87"/>
      <c r="AEX20" s="87"/>
      <c r="AEY20" s="87"/>
      <c r="AEZ20" s="87"/>
      <c r="AFA20" s="87"/>
      <c r="AFB20" s="87"/>
      <c r="AFC20" s="87"/>
      <c r="AFD20" s="87"/>
      <c r="AFE20" s="87"/>
      <c r="AFF20" s="87"/>
      <c r="AFG20" s="87"/>
      <c r="AFH20" s="87"/>
      <c r="AFI20" s="87"/>
      <c r="AFJ20" s="87"/>
      <c r="AFK20" s="87"/>
      <c r="AFL20" s="87"/>
      <c r="AFM20" s="87"/>
      <c r="AFN20" s="87"/>
      <c r="AFO20" s="87"/>
      <c r="AFP20" s="87"/>
      <c r="AFQ20" s="87"/>
      <c r="AFR20" s="87"/>
      <c r="AFS20" s="87"/>
      <c r="AFT20" s="87"/>
      <c r="AFU20" s="87"/>
      <c r="AFV20" s="87"/>
      <c r="AFW20" s="87"/>
      <c r="AFX20" s="87"/>
      <c r="AFY20" s="87"/>
      <c r="AFZ20" s="87"/>
      <c r="AGA20" s="87"/>
      <c r="AGB20" s="87"/>
      <c r="AGC20" s="87"/>
      <c r="AGD20" s="87"/>
      <c r="AGE20" s="87"/>
      <c r="AGF20" s="87"/>
      <c r="AGG20" s="87"/>
      <c r="AGH20" s="87"/>
      <c r="AGI20" s="87"/>
      <c r="AGJ20" s="87"/>
      <c r="AGK20" s="87"/>
      <c r="AGL20" s="87"/>
      <c r="AGM20" s="87"/>
      <c r="AGN20" s="87"/>
      <c r="AGO20" s="87"/>
      <c r="AGP20" s="87"/>
      <c r="AGQ20" s="87"/>
      <c r="AGR20" s="87"/>
      <c r="AGS20" s="87"/>
      <c r="AGT20" s="87"/>
      <c r="AGU20" s="87"/>
      <c r="AGV20" s="87"/>
      <c r="AGW20" s="87"/>
      <c r="AGX20" s="87"/>
      <c r="AGY20" s="87"/>
      <c r="AGZ20" s="87"/>
      <c r="AHA20" s="87"/>
      <c r="AHB20" s="87"/>
      <c r="AHC20" s="87"/>
      <c r="AHD20" s="87"/>
      <c r="AHE20" s="87"/>
      <c r="AHF20" s="87"/>
      <c r="AHG20" s="87"/>
      <c r="AHH20" s="87"/>
      <c r="AHI20" s="87"/>
      <c r="AHJ20" s="87"/>
      <c r="AHK20" s="87"/>
      <c r="AHL20" s="87"/>
      <c r="AHM20" s="87"/>
      <c r="AHN20" s="87"/>
      <c r="AHO20" s="87"/>
      <c r="AHP20" s="87"/>
      <c r="AHQ20" s="87"/>
      <c r="AHR20" s="87"/>
      <c r="AHS20" s="87"/>
      <c r="AHT20" s="87"/>
      <c r="AHU20" s="87"/>
      <c r="AHV20" s="87"/>
      <c r="AHW20" s="87"/>
      <c r="AHX20" s="87"/>
      <c r="AHY20" s="87"/>
      <c r="AHZ20" s="87"/>
      <c r="AIA20" s="87"/>
      <c r="AIB20" s="87"/>
      <c r="AIC20" s="87"/>
      <c r="AID20" s="87"/>
      <c r="AIE20" s="87"/>
      <c r="AIF20" s="87"/>
      <c r="AIG20" s="87"/>
      <c r="AIH20" s="87"/>
      <c r="AII20" s="87"/>
      <c r="AIJ20" s="87"/>
      <c r="AIK20" s="87"/>
      <c r="AIL20" s="87"/>
      <c r="AIM20" s="87"/>
      <c r="AIN20" s="87"/>
      <c r="AIO20" s="87"/>
      <c r="AIP20" s="87"/>
      <c r="AIQ20" s="87"/>
      <c r="AIR20" s="87"/>
      <c r="AIS20" s="87"/>
      <c r="AIT20" s="87"/>
      <c r="AIU20" s="87"/>
      <c r="AIV20" s="87"/>
      <c r="AIW20" s="87"/>
      <c r="AIX20" s="87"/>
      <c r="AIY20" s="87"/>
      <c r="AIZ20" s="87"/>
      <c r="AJA20" s="87"/>
      <c r="AJB20" s="87"/>
      <c r="AJC20" s="87"/>
      <c r="AJD20" s="87"/>
      <c r="AJE20" s="87"/>
      <c r="AJF20" s="87"/>
      <c r="AJG20" s="87"/>
      <c r="AJH20" s="87"/>
      <c r="AJI20" s="87"/>
      <c r="AJJ20" s="87"/>
      <c r="AJK20" s="87"/>
      <c r="AJL20" s="87"/>
      <c r="AJM20" s="87"/>
      <c r="AJN20" s="87"/>
      <c r="AJO20" s="87"/>
      <c r="AJP20" s="87"/>
      <c r="AJQ20" s="87"/>
      <c r="AJR20" s="87"/>
      <c r="AJS20" s="87"/>
      <c r="AJT20" s="87"/>
      <c r="AJU20" s="87"/>
      <c r="AJV20" s="87"/>
      <c r="AJW20" s="87"/>
      <c r="AJX20" s="87"/>
      <c r="AJY20" s="87"/>
      <c r="AJZ20" s="87"/>
      <c r="AKA20" s="87"/>
      <c r="AKB20" s="87"/>
      <c r="AKC20" s="87"/>
      <c r="AKD20" s="87"/>
      <c r="AKE20" s="87"/>
      <c r="AKF20" s="87"/>
      <c r="AKG20" s="87"/>
      <c r="AKH20" s="87"/>
      <c r="AKI20" s="87"/>
      <c r="AKJ20" s="87"/>
      <c r="AKK20" s="87"/>
      <c r="AKL20" s="87"/>
      <c r="AKM20" s="87"/>
      <c r="AKN20" s="87"/>
      <c r="AKO20" s="87"/>
      <c r="AKP20" s="87"/>
      <c r="AKQ20" s="87"/>
      <c r="AKR20" s="87"/>
      <c r="AKS20" s="87"/>
      <c r="AKT20" s="87"/>
      <c r="AKU20" s="87"/>
      <c r="AKV20" s="87"/>
      <c r="AKW20" s="87"/>
      <c r="AKX20" s="87"/>
      <c r="AKY20" s="87"/>
      <c r="AKZ20" s="87"/>
      <c r="ALA20" s="87"/>
      <c r="ALB20" s="87"/>
      <c r="ALC20" s="87"/>
      <c r="ALD20" s="87"/>
      <c r="ALE20" s="87"/>
      <c r="ALF20" s="87"/>
      <c r="ALG20" s="87"/>
      <c r="ALH20" s="87"/>
      <c r="ALI20" s="87"/>
      <c r="ALJ20" s="87"/>
      <c r="ALK20" s="87"/>
      <c r="ALL20" s="87"/>
      <c r="ALM20" s="87"/>
      <c r="ALN20" s="87"/>
      <c r="ALO20" s="87"/>
      <c r="ALP20" s="87"/>
      <c r="ALQ20" s="87"/>
      <c r="ALR20" s="87"/>
      <c r="ALS20" s="87"/>
      <c r="ALT20" s="87"/>
      <c r="ALU20" s="87"/>
      <c r="ALV20" s="87"/>
      <c r="ALW20" s="87"/>
      <c r="ALX20" s="87"/>
      <c r="ALY20" s="87"/>
      <c r="ALZ20" s="87"/>
      <c r="AMA20" s="87"/>
      <c r="AMB20" s="87"/>
      <c r="AMC20" s="87"/>
      <c r="AMD20" s="87"/>
      <c r="AME20" s="87"/>
      <c r="AMF20" s="87"/>
      <c r="AMG20" s="87"/>
      <c r="AMH20" s="87"/>
      <c r="AMI20" s="87"/>
      <c r="AMJ20" s="87"/>
      <c r="AMK20" s="87"/>
      <c r="AML20" s="87"/>
      <c r="AMM20" s="87"/>
      <c r="AMN20" s="87"/>
      <c r="AMO20" s="87"/>
      <c r="AMP20" s="87"/>
      <c r="AMQ20" s="87"/>
      <c r="AMR20" s="87"/>
      <c r="AMS20" s="87"/>
      <c r="AMT20" s="87"/>
      <c r="AMU20" s="87"/>
      <c r="AMV20" s="87"/>
      <c r="AMW20" s="87"/>
      <c r="AMX20" s="87"/>
      <c r="AMY20" s="87"/>
      <c r="AMZ20" s="87"/>
      <c r="ANA20" s="87"/>
      <c r="ANB20" s="87"/>
      <c r="ANC20" s="87"/>
      <c r="AND20" s="87"/>
      <c r="ANE20" s="87"/>
      <c r="ANF20" s="87"/>
      <c r="ANG20" s="87"/>
      <c r="ANH20" s="87"/>
      <c r="ANI20" s="87"/>
      <c r="ANJ20" s="87"/>
      <c r="ANK20" s="87"/>
      <c r="ANL20" s="87"/>
      <c r="ANM20" s="87"/>
      <c r="ANN20" s="87"/>
      <c r="ANO20" s="87"/>
      <c r="ANP20" s="87"/>
      <c r="ANQ20" s="87"/>
      <c r="ANR20" s="87"/>
      <c r="ANS20" s="87"/>
      <c r="ANT20" s="87"/>
      <c r="ANU20" s="87"/>
      <c r="ANV20" s="87"/>
      <c r="ANW20" s="87"/>
      <c r="ANX20" s="87"/>
      <c r="ANY20" s="87"/>
      <c r="ANZ20" s="87"/>
      <c r="AOA20" s="87"/>
      <c r="AOB20" s="87"/>
      <c r="AOC20" s="87"/>
      <c r="AOD20" s="87"/>
      <c r="AOE20" s="87"/>
      <c r="AOF20" s="87"/>
      <c r="AOG20" s="87"/>
      <c r="AOH20" s="87"/>
      <c r="AOI20" s="87"/>
      <c r="AOJ20" s="87"/>
      <c r="AOK20" s="87"/>
      <c r="AOL20" s="87"/>
      <c r="AOM20" s="87"/>
      <c r="AON20" s="87"/>
      <c r="AOO20" s="87"/>
      <c r="AOP20" s="87"/>
      <c r="AOQ20" s="87"/>
      <c r="AOR20" s="87"/>
      <c r="AOS20" s="87"/>
      <c r="AOT20" s="87"/>
      <c r="AOU20" s="87"/>
      <c r="AOV20" s="87"/>
      <c r="AOW20" s="87"/>
      <c r="AOX20" s="87"/>
      <c r="AOY20" s="87"/>
      <c r="AOZ20" s="87"/>
      <c r="APA20" s="87"/>
      <c r="APB20" s="87"/>
      <c r="APC20" s="87"/>
      <c r="APD20" s="87"/>
      <c r="APE20" s="87"/>
      <c r="APF20" s="87"/>
      <c r="APG20" s="87"/>
      <c r="APH20" s="87"/>
      <c r="API20" s="87"/>
      <c r="APJ20" s="87"/>
      <c r="APK20" s="87"/>
      <c r="APL20" s="87"/>
      <c r="APM20" s="87"/>
      <c r="APN20" s="87"/>
      <c r="APO20" s="87"/>
      <c r="APP20" s="87"/>
      <c r="APQ20" s="87"/>
      <c r="APR20" s="87"/>
      <c r="APS20" s="87"/>
      <c r="APT20" s="87"/>
      <c r="APU20" s="87"/>
      <c r="APV20" s="87"/>
      <c r="APW20" s="87"/>
      <c r="APX20" s="87"/>
      <c r="APY20" s="87"/>
      <c r="APZ20" s="87"/>
      <c r="AQA20" s="87"/>
      <c r="AQB20" s="87"/>
      <c r="AQC20" s="87"/>
      <c r="AQD20" s="87"/>
      <c r="AQE20" s="87"/>
      <c r="AQF20" s="87"/>
      <c r="AQG20" s="87"/>
      <c r="AQH20" s="87"/>
      <c r="AQI20" s="87"/>
      <c r="AQJ20" s="87"/>
      <c r="AQK20" s="87"/>
      <c r="AQL20" s="87"/>
      <c r="AQM20" s="87"/>
      <c r="AQN20" s="87"/>
      <c r="AQO20" s="87"/>
      <c r="AQP20" s="87"/>
      <c r="AQQ20" s="87"/>
      <c r="AQR20" s="87"/>
      <c r="AQS20" s="87"/>
      <c r="AQT20" s="87"/>
      <c r="AQU20" s="87"/>
      <c r="AQV20" s="87"/>
      <c r="AQW20" s="87"/>
      <c r="AQX20" s="87"/>
      <c r="AQY20" s="87"/>
      <c r="AQZ20" s="87"/>
      <c r="ARA20" s="87"/>
      <c r="ARB20" s="87"/>
      <c r="ARC20" s="87"/>
      <c r="ARD20" s="87"/>
      <c r="ARE20" s="87"/>
      <c r="ARF20" s="87"/>
      <c r="ARG20" s="87"/>
      <c r="ARH20" s="87"/>
      <c r="ARI20" s="87"/>
      <c r="ARJ20" s="87"/>
      <c r="ARK20" s="87"/>
      <c r="ARL20" s="87"/>
      <c r="ARM20" s="87"/>
      <c r="ARN20" s="87"/>
      <c r="ARO20" s="87"/>
      <c r="ARP20" s="87"/>
      <c r="ARQ20" s="87"/>
      <c r="ARR20" s="87"/>
      <c r="ARS20" s="87"/>
      <c r="ART20" s="87"/>
      <c r="ARU20" s="87"/>
      <c r="ARV20" s="87"/>
      <c r="ARW20" s="87"/>
      <c r="ARX20" s="87"/>
      <c r="ARY20" s="87"/>
      <c r="ARZ20" s="87"/>
      <c r="ASA20" s="87"/>
      <c r="ASB20" s="87"/>
      <c r="ASC20" s="87"/>
      <c r="ASD20" s="87"/>
      <c r="ASE20" s="87"/>
      <c r="ASF20" s="87"/>
      <c r="ASG20" s="87"/>
      <c r="ASH20" s="87"/>
      <c r="ASI20" s="87"/>
      <c r="ASJ20" s="87"/>
      <c r="ASK20" s="87"/>
      <c r="ASL20" s="87"/>
      <c r="ASM20" s="87"/>
      <c r="ASN20" s="87"/>
      <c r="ASO20" s="87"/>
      <c r="ASP20" s="87"/>
      <c r="ASQ20" s="87"/>
      <c r="ASR20" s="87"/>
      <c r="ASS20" s="87"/>
      <c r="AST20" s="87"/>
      <c r="ASU20" s="87"/>
      <c r="ASV20" s="87"/>
      <c r="ASW20" s="87"/>
      <c r="ASX20" s="87"/>
      <c r="ASY20" s="87"/>
      <c r="ASZ20" s="87"/>
      <c r="ATA20" s="87"/>
      <c r="ATB20" s="87"/>
      <c r="ATC20" s="87"/>
      <c r="ATD20" s="87"/>
      <c r="ATE20" s="87"/>
      <c r="ATF20" s="87"/>
      <c r="ATG20" s="87"/>
      <c r="ATH20" s="87"/>
      <c r="ATI20" s="87"/>
      <c r="ATJ20" s="87"/>
      <c r="ATK20" s="87"/>
      <c r="ATL20" s="87"/>
      <c r="ATM20" s="87"/>
      <c r="ATN20" s="87"/>
      <c r="ATO20" s="87"/>
      <c r="ATP20" s="87"/>
      <c r="ATQ20" s="87"/>
      <c r="ATR20" s="87"/>
      <c r="ATS20" s="87"/>
      <c r="ATT20" s="87"/>
      <c r="ATU20" s="87"/>
      <c r="ATV20" s="87"/>
      <c r="ATW20" s="87"/>
      <c r="ATX20" s="87"/>
      <c r="ATY20" s="87"/>
      <c r="ATZ20" s="87"/>
      <c r="AUA20" s="87"/>
      <c r="AUB20" s="87"/>
      <c r="AUC20" s="87"/>
      <c r="AUD20" s="87"/>
      <c r="AUE20" s="87"/>
      <c r="AUF20" s="87"/>
      <c r="AUG20" s="87"/>
      <c r="AUH20" s="87"/>
      <c r="AUI20" s="87"/>
      <c r="AUJ20" s="87"/>
      <c r="AUK20" s="87"/>
      <c r="AUL20" s="87"/>
      <c r="AUM20" s="87"/>
      <c r="AUN20" s="87"/>
      <c r="AUO20" s="87"/>
      <c r="AUP20" s="87"/>
      <c r="AUQ20" s="87"/>
      <c r="AUR20" s="87"/>
      <c r="AUS20" s="87"/>
      <c r="AUT20" s="87"/>
      <c r="AUU20" s="87"/>
      <c r="AUV20" s="87"/>
      <c r="AUW20" s="87"/>
      <c r="AUX20" s="87"/>
      <c r="AUY20" s="87"/>
      <c r="AUZ20" s="87"/>
      <c r="AVA20" s="87"/>
      <c r="AVB20" s="87"/>
      <c r="AVC20" s="87"/>
      <c r="AVD20" s="87"/>
      <c r="AVE20" s="87"/>
      <c r="AVF20" s="87"/>
      <c r="AVG20" s="87"/>
      <c r="AVH20" s="87"/>
      <c r="AVI20" s="87"/>
      <c r="AVJ20" s="87"/>
      <c r="AVK20" s="87"/>
      <c r="AVL20" s="87"/>
      <c r="AVM20" s="87"/>
      <c r="AVN20" s="87"/>
      <c r="AVO20" s="87"/>
      <c r="AVP20" s="87"/>
      <c r="AVQ20" s="87"/>
      <c r="AVR20" s="87"/>
      <c r="AVS20" s="87"/>
      <c r="AVT20" s="87"/>
      <c r="AVU20" s="87"/>
      <c r="AVV20" s="87"/>
      <c r="AVW20" s="87"/>
      <c r="AVX20" s="87"/>
      <c r="AVY20" s="87"/>
      <c r="AVZ20" s="87"/>
      <c r="AWA20" s="87"/>
      <c r="AWB20" s="87"/>
      <c r="AWC20" s="87"/>
      <c r="AWD20" s="87"/>
      <c r="AWE20" s="87"/>
      <c r="AWF20" s="87"/>
      <c r="AWG20" s="87"/>
      <c r="AWH20" s="87"/>
      <c r="AWI20" s="87"/>
      <c r="AWJ20" s="87"/>
      <c r="AWK20" s="87"/>
      <c r="AWL20" s="87"/>
      <c r="AWM20" s="87"/>
      <c r="AWN20" s="87"/>
      <c r="AWO20" s="87"/>
      <c r="AWP20" s="87"/>
      <c r="AWQ20" s="87"/>
      <c r="AWR20" s="87"/>
      <c r="AWS20" s="87"/>
      <c r="AWT20" s="87"/>
      <c r="AWU20" s="87"/>
      <c r="AWV20" s="87"/>
      <c r="AWW20" s="87"/>
      <c r="AWX20" s="87"/>
      <c r="AWY20" s="87"/>
      <c r="AWZ20" s="87"/>
      <c r="AXA20" s="87"/>
      <c r="AXB20" s="87"/>
      <c r="AXC20" s="87"/>
      <c r="AXD20" s="87"/>
      <c r="AXE20" s="87"/>
      <c r="AXF20" s="87"/>
      <c r="AXG20" s="87"/>
      <c r="AXH20" s="87"/>
      <c r="AXI20" s="87"/>
      <c r="AXJ20" s="87"/>
      <c r="AXK20" s="87"/>
      <c r="AXL20" s="87"/>
      <c r="AXM20" s="87"/>
      <c r="AXN20" s="87"/>
      <c r="AXO20" s="87"/>
      <c r="AXP20" s="87"/>
      <c r="AXQ20" s="87"/>
      <c r="AXR20" s="87"/>
      <c r="AXS20" s="87"/>
      <c r="AXT20" s="87"/>
      <c r="AXU20" s="87"/>
      <c r="AXV20" s="87"/>
      <c r="AXW20" s="87"/>
      <c r="AXX20" s="87"/>
      <c r="AXY20" s="87"/>
      <c r="AXZ20" s="87"/>
      <c r="AYA20" s="87"/>
      <c r="AYB20" s="87"/>
      <c r="AYC20" s="87"/>
      <c r="AYD20" s="87"/>
      <c r="AYE20" s="87"/>
      <c r="AYF20" s="87"/>
      <c r="AYG20" s="87"/>
      <c r="AYH20" s="87"/>
      <c r="AYI20" s="87"/>
      <c r="AYJ20" s="87"/>
      <c r="AYK20" s="87"/>
      <c r="AYL20" s="87"/>
      <c r="AYM20" s="87"/>
      <c r="AYN20" s="87"/>
      <c r="AYO20" s="87"/>
      <c r="AYP20" s="87"/>
      <c r="AYQ20" s="87"/>
      <c r="AYR20" s="87"/>
      <c r="AYS20" s="87"/>
      <c r="AYT20" s="87"/>
      <c r="AYU20" s="87"/>
      <c r="AYV20" s="87"/>
      <c r="AYW20" s="87"/>
      <c r="AYX20" s="87"/>
      <c r="AYY20" s="87"/>
      <c r="AYZ20" s="87"/>
      <c r="AZA20" s="87"/>
      <c r="AZB20" s="87"/>
      <c r="AZC20" s="87"/>
      <c r="AZD20" s="87"/>
      <c r="AZE20" s="87"/>
      <c r="AZF20" s="87"/>
      <c r="AZG20" s="87"/>
      <c r="AZH20" s="87"/>
      <c r="AZI20" s="87"/>
      <c r="AZJ20" s="87"/>
      <c r="AZK20" s="87"/>
      <c r="AZL20" s="87"/>
      <c r="AZM20" s="87"/>
      <c r="AZN20" s="87"/>
      <c r="AZO20" s="87"/>
      <c r="AZP20" s="87"/>
      <c r="AZQ20" s="87"/>
      <c r="AZR20" s="87"/>
      <c r="AZS20" s="87"/>
      <c r="AZT20" s="87"/>
      <c r="AZU20" s="87"/>
      <c r="AZV20" s="87"/>
      <c r="AZW20" s="87"/>
      <c r="AZX20" s="87"/>
      <c r="AZY20" s="87"/>
      <c r="AZZ20" s="87"/>
      <c r="BAA20" s="87"/>
      <c r="BAB20" s="87"/>
      <c r="BAC20" s="87"/>
      <c r="BAD20" s="87"/>
      <c r="BAE20" s="87"/>
      <c r="BAF20" s="87"/>
      <c r="BAG20" s="87"/>
      <c r="BAH20" s="87"/>
      <c r="BAI20" s="87"/>
      <c r="BAJ20" s="87"/>
      <c r="BAK20" s="87"/>
      <c r="BAL20" s="87"/>
      <c r="BAM20" s="87"/>
      <c r="BAN20" s="87"/>
      <c r="BAO20" s="87"/>
      <c r="BAP20" s="87"/>
      <c r="BAQ20" s="87"/>
      <c r="BAR20" s="87"/>
      <c r="BAS20" s="87"/>
      <c r="BAT20" s="87"/>
      <c r="BAU20" s="87"/>
      <c r="BAV20" s="87"/>
      <c r="BAW20" s="87"/>
      <c r="BAX20" s="87"/>
      <c r="BAY20" s="87"/>
      <c r="BAZ20" s="87"/>
      <c r="BBA20" s="87"/>
      <c r="BBB20" s="87"/>
      <c r="BBC20" s="87"/>
      <c r="BBD20" s="87"/>
      <c r="BBE20" s="87"/>
      <c r="BBF20" s="87"/>
      <c r="BBG20" s="87"/>
      <c r="BBH20" s="87"/>
      <c r="BBI20" s="87"/>
      <c r="BBJ20" s="87"/>
      <c r="BBK20" s="87"/>
      <c r="BBL20" s="87"/>
      <c r="BBM20" s="87"/>
      <c r="BBN20" s="87"/>
      <c r="BBO20" s="87"/>
      <c r="BBP20" s="87"/>
      <c r="BBQ20" s="87"/>
      <c r="BBR20" s="87"/>
      <c r="BBS20" s="87"/>
      <c r="BBT20" s="87"/>
      <c r="BBU20" s="87"/>
      <c r="BBV20" s="87"/>
      <c r="BBW20" s="87"/>
      <c r="BBX20" s="87"/>
      <c r="BBY20" s="87"/>
      <c r="BBZ20" s="87"/>
      <c r="BCA20" s="87"/>
      <c r="BCB20" s="87"/>
      <c r="BCC20" s="87"/>
      <c r="BCD20" s="87"/>
      <c r="BCE20" s="87"/>
      <c r="BCF20" s="87"/>
      <c r="BCG20" s="87"/>
      <c r="BCH20" s="87"/>
      <c r="BCI20" s="87"/>
      <c r="BCJ20" s="87"/>
      <c r="BCK20" s="87"/>
      <c r="BCL20" s="87"/>
      <c r="BCM20" s="87"/>
      <c r="BCN20" s="87"/>
      <c r="BCO20" s="87"/>
      <c r="BCP20" s="87"/>
      <c r="BCQ20" s="87"/>
      <c r="BCR20" s="87"/>
      <c r="BCS20" s="87"/>
      <c r="BCT20" s="87"/>
      <c r="BCU20" s="87"/>
      <c r="BCV20" s="87"/>
      <c r="BCW20" s="87"/>
      <c r="BCX20" s="87"/>
      <c r="BCY20" s="87"/>
      <c r="BCZ20" s="87"/>
      <c r="BDA20" s="87"/>
      <c r="BDB20" s="87"/>
      <c r="BDC20" s="87"/>
      <c r="BDD20" s="87"/>
      <c r="BDE20" s="87"/>
      <c r="BDF20" s="87"/>
      <c r="BDG20" s="87"/>
      <c r="BDH20" s="87"/>
      <c r="BDI20" s="87"/>
      <c r="BDJ20" s="87"/>
      <c r="BDK20" s="87"/>
      <c r="BDL20" s="87"/>
      <c r="BDM20" s="87"/>
      <c r="BDN20" s="87"/>
      <c r="BDO20" s="87"/>
      <c r="BDP20" s="87"/>
      <c r="BDQ20" s="87"/>
      <c r="BDR20" s="87"/>
      <c r="BDS20" s="87"/>
      <c r="BDT20" s="87"/>
      <c r="BDU20" s="87"/>
      <c r="BDV20" s="87"/>
      <c r="BDW20" s="87"/>
      <c r="BDX20" s="87"/>
      <c r="BDY20" s="87"/>
      <c r="BDZ20" s="87"/>
      <c r="BEA20" s="87"/>
      <c r="BEB20" s="87"/>
      <c r="BEC20" s="87"/>
      <c r="BED20" s="87"/>
      <c r="BEE20" s="87"/>
      <c r="BEF20" s="87"/>
      <c r="BEG20" s="87"/>
      <c r="BEH20" s="87"/>
      <c r="BEI20" s="87"/>
      <c r="BEJ20" s="87"/>
      <c r="BEK20" s="87"/>
      <c r="BEL20" s="87"/>
      <c r="BEM20" s="87"/>
      <c r="BEN20" s="87"/>
      <c r="BEO20" s="87"/>
      <c r="BEP20" s="87"/>
      <c r="BEQ20" s="87"/>
      <c r="BER20" s="87"/>
      <c r="BES20" s="87"/>
      <c r="BET20" s="87"/>
      <c r="BEU20" s="87"/>
      <c r="BEV20" s="87"/>
      <c r="BEW20" s="87"/>
      <c r="BEX20" s="87"/>
      <c r="BEY20" s="87"/>
      <c r="BEZ20" s="87"/>
      <c r="BFA20" s="87"/>
      <c r="BFB20" s="87"/>
      <c r="BFC20" s="87"/>
      <c r="BFD20" s="87"/>
      <c r="BFE20" s="87"/>
      <c r="BFF20" s="87"/>
      <c r="BFG20" s="87"/>
      <c r="BFH20" s="87"/>
      <c r="BFI20" s="87"/>
      <c r="BFJ20" s="87"/>
      <c r="BFK20" s="87"/>
      <c r="BFL20" s="87"/>
      <c r="BFM20" s="87"/>
      <c r="BFN20" s="87"/>
      <c r="BFO20" s="87"/>
      <c r="BFP20" s="87"/>
      <c r="BFQ20" s="87"/>
      <c r="BFR20" s="87"/>
      <c r="BFS20" s="87"/>
      <c r="BFT20" s="87"/>
      <c r="BFU20" s="87"/>
      <c r="BFV20" s="87"/>
      <c r="BFW20" s="87"/>
      <c r="BFX20" s="87"/>
      <c r="BFY20" s="87"/>
      <c r="BFZ20" s="87"/>
      <c r="BGA20" s="87"/>
      <c r="BGB20" s="87"/>
      <c r="BGC20" s="87"/>
      <c r="BGD20" s="87"/>
      <c r="BGE20" s="87"/>
      <c r="BGF20" s="87"/>
      <c r="BGG20" s="87"/>
      <c r="BGH20" s="87"/>
      <c r="BGI20" s="87"/>
      <c r="BGJ20" s="87"/>
      <c r="BGK20" s="87"/>
      <c r="BGL20" s="87"/>
      <c r="BGM20" s="87"/>
      <c r="BGN20" s="87"/>
      <c r="BGO20" s="87"/>
      <c r="BGP20" s="87"/>
      <c r="BGQ20" s="87"/>
      <c r="BGR20" s="87"/>
      <c r="BGS20" s="87"/>
      <c r="BGT20" s="87"/>
      <c r="BGU20" s="87"/>
      <c r="BGV20" s="87"/>
      <c r="BGW20" s="87"/>
      <c r="BGX20" s="87"/>
      <c r="BGY20" s="87"/>
      <c r="BGZ20" s="87"/>
      <c r="BHA20" s="87"/>
      <c r="BHB20" s="87"/>
      <c r="BHC20" s="87"/>
      <c r="BHD20" s="87"/>
      <c r="BHE20" s="87"/>
      <c r="BHF20" s="87"/>
      <c r="BHG20" s="87"/>
      <c r="BHH20" s="87"/>
      <c r="BHI20" s="87"/>
      <c r="BHJ20" s="87"/>
      <c r="BHK20" s="87"/>
      <c r="BHL20" s="87"/>
      <c r="BHM20" s="87"/>
      <c r="BHN20" s="87"/>
      <c r="BHO20" s="87"/>
      <c r="BHP20" s="87"/>
      <c r="BHQ20" s="87"/>
      <c r="BHR20" s="87"/>
      <c r="BHS20" s="87"/>
      <c r="BHT20" s="87"/>
      <c r="BHU20" s="87"/>
      <c r="BHV20" s="87"/>
      <c r="BHW20" s="87"/>
      <c r="BHX20" s="87"/>
      <c r="BHY20" s="87"/>
      <c r="BHZ20" s="87"/>
      <c r="BIA20" s="87"/>
      <c r="BIB20" s="87"/>
      <c r="BIC20" s="87"/>
      <c r="BID20" s="87"/>
      <c r="BIE20" s="87"/>
      <c r="BIF20" s="87"/>
      <c r="BIG20" s="87"/>
      <c r="BIH20" s="87"/>
      <c r="BII20" s="87"/>
      <c r="BIJ20" s="87"/>
      <c r="BIK20" s="87"/>
      <c r="BIL20" s="87"/>
      <c r="BIM20" s="87"/>
      <c r="BIN20" s="87"/>
      <c r="BIO20" s="87"/>
      <c r="BIP20" s="87"/>
      <c r="BIQ20" s="87"/>
      <c r="BIR20" s="87"/>
      <c r="BIS20" s="87"/>
      <c r="BIT20" s="87"/>
      <c r="BIU20" s="87"/>
      <c r="BIV20" s="87"/>
      <c r="BIW20" s="87"/>
      <c r="BIX20" s="87"/>
      <c r="BIY20" s="87"/>
      <c r="BIZ20" s="87"/>
      <c r="BJA20" s="87"/>
      <c r="BJB20" s="87"/>
      <c r="BJC20" s="87"/>
      <c r="BJD20" s="87"/>
      <c r="BJE20" s="87"/>
      <c r="BJF20" s="87"/>
      <c r="BJG20" s="87"/>
      <c r="BJH20" s="87"/>
      <c r="BJI20" s="87"/>
      <c r="BJJ20" s="87"/>
      <c r="BJK20" s="87"/>
      <c r="BJL20" s="87"/>
      <c r="BJM20" s="87"/>
      <c r="BJN20" s="87"/>
      <c r="BJO20" s="87"/>
      <c r="BJP20" s="87"/>
      <c r="BJQ20" s="87"/>
      <c r="BJR20" s="87"/>
      <c r="BJS20" s="87"/>
      <c r="BJT20" s="87"/>
      <c r="BJU20" s="87"/>
      <c r="BJV20" s="87"/>
      <c r="BJW20" s="87"/>
      <c r="BJX20" s="87"/>
      <c r="BJY20" s="87"/>
      <c r="BJZ20" s="87"/>
      <c r="BKA20" s="87"/>
      <c r="BKB20" s="87"/>
      <c r="BKC20" s="87"/>
      <c r="BKD20" s="87"/>
      <c r="BKE20" s="87"/>
      <c r="BKF20" s="87"/>
      <c r="BKG20" s="87"/>
      <c r="BKH20" s="87"/>
      <c r="BKI20" s="87"/>
      <c r="BKJ20" s="87"/>
      <c r="BKK20" s="87"/>
      <c r="BKL20" s="87"/>
      <c r="BKM20" s="87"/>
      <c r="BKN20" s="87"/>
      <c r="BKO20" s="87"/>
      <c r="BKP20" s="87"/>
      <c r="BKQ20" s="87"/>
      <c r="BKR20" s="87"/>
      <c r="BKS20" s="87"/>
      <c r="BKT20" s="87"/>
      <c r="BKU20" s="87"/>
      <c r="BKV20" s="87"/>
      <c r="BKW20" s="87"/>
      <c r="BKX20" s="87"/>
      <c r="BKY20" s="87"/>
      <c r="BKZ20" s="87"/>
      <c r="BLA20" s="87"/>
      <c r="BLB20" s="87"/>
      <c r="BLC20" s="87"/>
      <c r="BLD20" s="87"/>
      <c r="BLE20" s="87"/>
      <c r="BLF20" s="87"/>
      <c r="BLG20" s="87"/>
      <c r="BLH20" s="87"/>
      <c r="BLI20" s="87"/>
      <c r="BLJ20" s="87"/>
      <c r="BLK20" s="87"/>
      <c r="BLL20" s="87"/>
      <c r="BLM20" s="87"/>
      <c r="BLN20" s="87"/>
      <c r="BLO20" s="87"/>
      <c r="BLP20" s="87"/>
      <c r="BLQ20" s="87"/>
      <c r="BLR20" s="87"/>
      <c r="BLS20" s="87"/>
      <c r="BLT20" s="87"/>
      <c r="BLU20" s="87"/>
      <c r="BLV20" s="87"/>
      <c r="BLW20" s="87"/>
      <c r="BLX20" s="87"/>
      <c r="BLY20" s="87"/>
      <c r="BLZ20" s="87"/>
      <c r="BMA20" s="87"/>
      <c r="BMB20" s="87"/>
      <c r="BMC20" s="87"/>
      <c r="BMD20" s="87"/>
      <c r="BME20" s="87"/>
      <c r="BMF20" s="87"/>
      <c r="BMG20" s="87"/>
      <c r="BMH20" s="87"/>
      <c r="BMI20" s="87"/>
      <c r="BMJ20" s="87"/>
      <c r="BMK20" s="87"/>
      <c r="BML20" s="87"/>
      <c r="BMM20" s="87"/>
      <c r="BMN20" s="87"/>
      <c r="BMO20" s="87"/>
      <c r="BMP20" s="87"/>
      <c r="BMQ20" s="87"/>
      <c r="BMR20" s="87"/>
      <c r="BMS20" s="87"/>
      <c r="BMT20" s="87"/>
      <c r="BMU20" s="87"/>
      <c r="BMV20" s="87"/>
      <c r="BMW20" s="87"/>
      <c r="BMX20" s="87"/>
      <c r="BMY20" s="87"/>
      <c r="BMZ20" s="87"/>
      <c r="BNA20" s="87"/>
      <c r="BNB20" s="87"/>
      <c r="BNC20" s="87"/>
      <c r="BND20" s="87"/>
      <c r="BNE20" s="87"/>
      <c r="BNF20" s="87"/>
      <c r="BNG20" s="87"/>
      <c r="BNH20" s="87"/>
      <c r="BNI20" s="87"/>
      <c r="BNJ20" s="87"/>
      <c r="BNK20" s="87"/>
      <c r="BNL20" s="87"/>
      <c r="BNM20" s="87"/>
      <c r="BNN20" s="87"/>
      <c r="BNO20" s="87"/>
      <c r="BNP20" s="87"/>
      <c r="BNQ20" s="87"/>
      <c r="BNR20" s="87"/>
      <c r="BNS20" s="87"/>
      <c r="BNT20" s="87"/>
      <c r="BNU20" s="87"/>
      <c r="BNV20" s="87"/>
      <c r="BNW20" s="87"/>
      <c r="BNX20" s="87"/>
      <c r="BNY20" s="87"/>
      <c r="BNZ20" s="87"/>
      <c r="BOA20" s="87"/>
      <c r="BOB20" s="87"/>
      <c r="BOC20" s="87"/>
      <c r="BOD20" s="87"/>
      <c r="BOE20" s="87"/>
      <c r="BOF20" s="87"/>
      <c r="BOG20" s="87"/>
      <c r="BOH20" s="87"/>
      <c r="BOI20" s="87"/>
      <c r="BOJ20" s="87"/>
      <c r="BOK20" s="87"/>
      <c r="BOL20" s="87"/>
      <c r="BOM20" s="87"/>
      <c r="BON20" s="87"/>
      <c r="BOO20" s="87"/>
      <c r="BOP20" s="87"/>
      <c r="BOQ20" s="87"/>
      <c r="BOR20" s="87"/>
      <c r="BOS20" s="87"/>
      <c r="BOT20" s="87"/>
      <c r="BOU20" s="87"/>
      <c r="BOV20" s="87"/>
      <c r="BOW20" s="87"/>
      <c r="BOX20" s="87"/>
      <c r="BOY20" s="87"/>
      <c r="BOZ20" s="87"/>
      <c r="BPA20" s="87"/>
      <c r="BPB20" s="87"/>
      <c r="BPC20" s="87"/>
      <c r="BPD20" s="87"/>
      <c r="BPE20" s="87"/>
      <c r="BPF20" s="87"/>
      <c r="BPG20" s="87"/>
      <c r="BPH20" s="87"/>
      <c r="BPI20" s="87"/>
      <c r="BPJ20" s="87"/>
      <c r="BPK20" s="87"/>
      <c r="BPL20" s="87"/>
      <c r="BPM20" s="87"/>
      <c r="BPN20" s="87"/>
      <c r="BPO20" s="87"/>
      <c r="BPP20" s="87"/>
      <c r="BPQ20" s="87"/>
      <c r="BPR20" s="87"/>
      <c r="BPS20" s="87"/>
      <c r="BPT20" s="87"/>
      <c r="BPU20" s="87"/>
      <c r="BPV20" s="87"/>
      <c r="BPW20" s="87"/>
      <c r="BPX20" s="87"/>
      <c r="BPY20" s="87"/>
      <c r="BPZ20" s="87"/>
      <c r="BQA20" s="87"/>
      <c r="BQB20" s="87"/>
      <c r="BQC20" s="87"/>
      <c r="BQD20" s="87"/>
      <c r="BQE20" s="87"/>
      <c r="BQF20" s="87"/>
      <c r="BQG20" s="87"/>
      <c r="BQH20" s="87"/>
      <c r="BQI20" s="87"/>
      <c r="BQJ20" s="87"/>
      <c r="BQK20" s="87"/>
      <c r="BQL20" s="87"/>
      <c r="BQM20" s="87"/>
      <c r="BQN20" s="87"/>
      <c r="BQO20" s="87"/>
      <c r="BQP20" s="87"/>
      <c r="BQQ20" s="87"/>
      <c r="BQR20" s="87"/>
      <c r="BQS20" s="87"/>
      <c r="BQT20" s="87"/>
      <c r="BQU20" s="87"/>
      <c r="BQV20" s="87"/>
      <c r="BQW20" s="87"/>
      <c r="BQX20" s="87"/>
      <c r="BQY20" s="87"/>
      <c r="BQZ20" s="87"/>
      <c r="BRA20" s="87"/>
      <c r="BRB20" s="87"/>
      <c r="BRC20" s="87"/>
      <c r="BRD20" s="87"/>
      <c r="BRE20" s="87"/>
      <c r="BRF20" s="87"/>
      <c r="BRG20" s="87"/>
      <c r="BRH20" s="87"/>
      <c r="BRI20" s="87"/>
      <c r="BRJ20" s="87"/>
      <c r="BRK20" s="87"/>
      <c r="BRL20" s="87"/>
      <c r="BRM20" s="87"/>
      <c r="BRN20" s="87"/>
      <c r="BRO20" s="87"/>
      <c r="BRP20" s="87"/>
      <c r="BRQ20" s="87"/>
      <c r="BRR20" s="87"/>
      <c r="BRS20" s="87"/>
      <c r="BRT20" s="87"/>
      <c r="BRU20" s="87"/>
      <c r="BRV20" s="87"/>
      <c r="BRW20" s="87"/>
      <c r="BRX20" s="87"/>
      <c r="BRY20" s="87"/>
      <c r="BRZ20" s="87"/>
      <c r="BSA20" s="87"/>
      <c r="BSB20" s="87"/>
      <c r="BSC20" s="87"/>
      <c r="BSD20" s="87"/>
      <c r="BSE20" s="87"/>
      <c r="BSF20" s="87"/>
      <c r="BSG20" s="87"/>
      <c r="BSH20" s="87"/>
      <c r="BSI20" s="87"/>
      <c r="BSJ20" s="87"/>
      <c r="BSK20" s="87"/>
      <c r="BSL20" s="87"/>
      <c r="BSM20" s="87"/>
      <c r="BSN20" s="87"/>
      <c r="BSO20" s="87"/>
      <c r="BSP20" s="87"/>
      <c r="BSQ20" s="87"/>
      <c r="BSR20" s="87"/>
      <c r="BSS20" s="87"/>
      <c r="BST20" s="87"/>
      <c r="BSU20" s="87"/>
      <c r="BSV20" s="87"/>
      <c r="BSW20" s="87"/>
      <c r="BSX20" s="87"/>
      <c r="BSY20" s="87"/>
      <c r="BSZ20" s="87"/>
      <c r="BTA20" s="87"/>
      <c r="BTB20" s="87"/>
      <c r="BTC20" s="87"/>
      <c r="BTD20" s="87"/>
      <c r="BTE20" s="87"/>
      <c r="BTF20" s="87"/>
      <c r="BTG20" s="87"/>
      <c r="BTH20" s="87"/>
      <c r="BTI20" s="87"/>
      <c r="BTJ20" s="87"/>
      <c r="BTK20" s="87"/>
      <c r="BTL20" s="87"/>
      <c r="BTM20" s="87"/>
      <c r="BTN20" s="87"/>
      <c r="BTO20" s="87"/>
      <c r="BTP20" s="87"/>
      <c r="BTQ20" s="87"/>
      <c r="BTR20" s="87"/>
      <c r="BTS20" s="87"/>
      <c r="BTT20" s="87"/>
      <c r="BTU20" s="87"/>
      <c r="BTV20" s="87"/>
      <c r="BTW20" s="87"/>
      <c r="BTX20" s="87"/>
      <c r="BTY20" s="87"/>
      <c r="BTZ20" s="87"/>
      <c r="BUA20" s="87"/>
      <c r="BUB20" s="87"/>
      <c r="BUC20" s="87"/>
      <c r="BUD20" s="87"/>
      <c r="BUE20" s="87"/>
      <c r="BUF20" s="87"/>
      <c r="BUG20" s="87"/>
      <c r="BUH20" s="87"/>
      <c r="BUI20" s="87"/>
      <c r="BUJ20" s="87"/>
      <c r="BUK20" s="87"/>
      <c r="BUL20" s="87"/>
      <c r="BUM20" s="87"/>
      <c r="BUN20" s="87"/>
      <c r="BUO20" s="87"/>
      <c r="BUP20" s="87"/>
      <c r="BUQ20" s="87"/>
      <c r="BUR20" s="87"/>
      <c r="BUS20" s="87"/>
      <c r="BUT20" s="87"/>
      <c r="BUU20" s="87"/>
      <c r="BUV20" s="87"/>
      <c r="BUW20" s="87"/>
      <c r="BUX20" s="87"/>
      <c r="BUY20" s="87"/>
      <c r="BUZ20" s="87"/>
      <c r="BVA20" s="87"/>
      <c r="BVB20" s="87"/>
      <c r="BVC20" s="87"/>
      <c r="BVD20" s="87"/>
      <c r="BVE20" s="87"/>
      <c r="BVF20" s="87"/>
      <c r="BVG20" s="87"/>
      <c r="BVH20" s="87"/>
      <c r="BVI20" s="87"/>
      <c r="BVJ20" s="87"/>
      <c r="BVK20" s="87"/>
      <c r="BVL20" s="87"/>
      <c r="BVM20" s="87"/>
      <c r="BVN20" s="87"/>
      <c r="BVO20" s="87"/>
      <c r="BVP20" s="87"/>
      <c r="BVQ20" s="87"/>
      <c r="BVR20" s="87"/>
      <c r="BVS20" s="87"/>
      <c r="BVT20" s="87"/>
      <c r="BVU20" s="87"/>
      <c r="BVV20" s="87"/>
      <c r="BVW20" s="87"/>
      <c r="BVX20" s="87"/>
      <c r="BVY20" s="87"/>
      <c r="BVZ20" s="87"/>
      <c r="BWA20" s="87"/>
      <c r="BWB20" s="87"/>
      <c r="BWC20" s="87"/>
      <c r="BWD20" s="87"/>
      <c r="BWE20" s="87"/>
      <c r="BWF20" s="87"/>
      <c r="BWG20" s="87"/>
      <c r="BWH20" s="87"/>
      <c r="BWI20" s="87"/>
      <c r="BWJ20" s="87"/>
      <c r="BWK20" s="87"/>
      <c r="BWL20" s="87"/>
      <c r="BWM20" s="87"/>
      <c r="BWN20" s="87"/>
      <c r="BWO20" s="87"/>
      <c r="BWP20" s="87"/>
      <c r="BWQ20" s="87"/>
      <c r="BWR20" s="87"/>
      <c r="BWS20" s="87"/>
      <c r="BWT20" s="87"/>
      <c r="BWU20" s="87"/>
      <c r="BWV20" s="87"/>
      <c r="BWW20" s="87"/>
      <c r="BWX20" s="87"/>
      <c r="BWY20" s="87"/>
      <c r="BWZ20" s="87"/>
      <c r="BXA20" s="87"/>
      <c r="BXB20" s="87"/>
      <c r="BXC20" s="87"/>
      <c r="BXD20" s="87"/>
      <c r="BXE20" s="87"/>
      <c r="BXF20" s="87"/>
      <c r="BXG20" s="87"/>
      <c r="BXH20" s="87"/>
      <c r="BXI20" s="87"/>
      <c r="BXJ20" s="87"/>
      <c r="BXK20" s="87"/>
      <c r="BXL20" s="87"/>
      <c r="BXM20" s="87"/>
      <c r="BXN20" s="87"/>
      <c r="BXO20" s="87"/>
      <c r="BXP20" s="87"/>
      <c r="BXQ20" s="87"/>
      <c r="BXR20" s="87"/>
      <c r="BXS20" s="87"/>
      <c r="BXT20" s="87"/>
      <c r="BXU20" s="87"/>
      <c r="BXV20" s="87"/>
      <c r="BXW20" s="87"/>
      <c r="BXX20" s="87"/>
      <c r="BXY20" s="87"/>
      <c r="BXZ20" s="87"/>
      <c r="BYA20" s="87"/>
      <c r="BYB20" s="87"/>
      <c r="BYC20" s="87"/>
      <c r="BYD20" s="87"/>
      <c r="BYE20" s="87"/>
      <c r="BYF20" s="87"/>
      <c r="BYG20" s="87"/>
      <c r="BYH20" s="87"/>
      <c r="BYI20" s="87"/>
      <c r="BYJ20" s="87"/>
      <c r="BYK20" s="87"/>
      <c r="BYL20" s="87"/>
      <c r="BYM20" s="87"/>
      <c r="BYN20" s="87"/>
      <c r="BYO20" s="87"/>
      <c r="BYP20" s="87"/>
      <c r="BYQ20" s="87"/>
      <c r="BYR20" s="87"/>
      <c r="BYS20" s="87"/>
      <c r="BYT20" s="87"/>
      <c r="BYU20" s="87"/>
      <c r="BYV20" s="87"/>
      <c r="BYW20" s="87"/>
      <c r="BYX20" s="87"/>
      <c r="BYY20" s="87"/>
      <c r="BYZ20" s="87"/>
      <c r="BZA20" s="87"/>
      <c r="BZB20" s="87"/>
      <c r="BZC20" s="87"/>
      <c r="BZD20" s="87"/>
      <c r="BZE20" s="87"/>
      <c r="BZF20" s="87"/>
      <c r="BZG20" s="87"/>
      <c r="BZH20" s="87"/>
      <c r="BZI20" s="87"/>
      <c r="BZJ20" s="87"/>
      <c r="BZK20" s="87"/>
      <c r="BZL20" s="87"/>
      <c r="BZM20" s="87"/>
      <c r="BZN20" s="87"/>
      <c r="BZO20" s="87"/>
      <c r="BZP20" s="87"/>
      <c r="BZQ20" s="87"/>
      <c r="BZR20" s="87"/>
      <c r="BZS20" s="87"/>
      <c r="BZT20" s="87"/>
      <c r="BZU20" s="87"/>
      <c r="BZV20" s="87"/>
      <c r="BZW20" s="87"/>
      <c r="BZX20" s="87"/>
      <c r="BZY20" s="87"/>
      <c r="BZZ20" s="87"/>
      <c r="CAA20" s="87"/>
      <c r="CAB20" s="87"/>
      <c r="CAC20" s="87"/>
      <c r="CAD20" s="87"/>
      <c r="CAE20" s="87"/>
      <c r="CAF20" s="87"/>
      <c r="CAG20" s="87"/>
      <c r="CAH20" s="87"/>
      <c r="CAI20" s="87"/>
      <c r="CAJ20" s="87"/>
      <c r="CAK20" s="87"/>
      <c r="CAL20" s="87"/>
      <c r="CAM20" s="87"/>
      <c r="CAN20" s="87"/>
      <c r="CAO20" s="87"/>
      <c r="CAP20" s="87"/>
      <c r="CAQ20" s="87"/>
      <c r="CAR20" s="87"/>
      <c r="CAS20" s="87"/>
      <c r="CAT20" s="87"/>
      <c r="CAU20" s="87"/>
      <c r="CAV20" s="87"/>
      <c r="CAW20" s="87"/>
      <c r="CAX20" s="87"/>
      <c r="CAY20" s="87"/>
      <c r="CAZ20" s="87"/>
      <c r="CBA20" s="87"/>
      <c r="CBB20" s="87"/>
      <c r="CBC20" s="87"/>
      <c r="CBD20" s="87"/>
      <c r="CBE20" s="87"/>
      <c r="CBF20" s="87"/>
      <c r="CBG20" s="87"/>
      <c r="CBH20" s="87"/>
      <c r="CBI20" s="87"/>
      <c r="CBJ20" s="87"/>
      <c r="CBK20" s="87"/>
      <c r="CBL20" s="87"/>
      <c r="CBM20" s="87"/>
      <c r="CBN20" s="87"/>
      <c r="CBO20" s="87"/>
      <c r="CBP20" s="87"/>
      <c r="CBQ20" s="87"/>
      <c r="CBR20" s="87"/>
      <c r="CBS20" s="87"/>
      <c r="CBT20" s="87"/>
      <c r="CBU20" s="87"/>
      <c r="CBV20" s="87"/>
      <c r="CBW20" s="87"/>
      <c r="CBX20" s="87"/>
      <c r="CBY20" s="87"/>
      <c r="CBZ20" s="87"/>
      <c r="CCA20" s="87"/>
      <c r="CCB20" s="87"/>
      <c r="CCC20" s="87"/>
      <c r="CCD20" s="87"/>
      <c r="CCE20" s="87"/>
      <c r="CCF20" s="87"/>
      <c r="CCG20" s="87"/>
      <c r="CCH20" s="87"/>
      <c r="CCI20" s="87"/>
      <c r="CCJ20" s="87"/>
      <c r="CCK20" s="87"/>
      <c r="CCL20" s="87"/>
      <c r="CCM20" s="87"/>
      <c r="CCN20" s="87"/>
      <c r="CCO20" s="87"/>
      <c r="CCP20" s="87"/>
      <c r="CCQ20" s="87"/>
      <c r="CCR20" s="87"/>
      <c r="CCS20" s="87"/>
      <c r="CCT20" s="87"/>
      <c r="CCU20" s="87"/>
      <c r="CCV20" s="87"/>
      <c r="CCW20" s="87"/>
      <c r="CCX20" s="87"/>
      <c r="CCY20" s="87"/>
      <c r="CCZ20" s="87"/>
      <c r="CDA20" s="87"/>
      <c r="CDB20" s="87"/>
      <c r="CDC20" s="87"/>
      <c r="CDD20" s="87"/>
      <c r="CDE20" s="87"/>
      <c r="CDF20" s="87"/>
      <c r="CDG20" s="87"/>
      <c r="CDH20" s="87"/>
      <c r="CDI20" s="87"/>
      <c r="CDJ20" s="87"/>
      <c r="CDK20" s="87"/>
      <c r="CDL20" s="87"/>
      <c r="CDM20" s="87"/>
      <c r="CDN20" s="87"/>
      <c r="CDO20" s="87"/>
      <c r="CDP20" s="87"/>
      <c r="CDQ20" s="87"/>
      <c r="CDR20" s="87"/>
      <c r="CDS20" s="87"/>
      <c r="CDT20" s="87"/>
      <c r="CDU20" s="87"/>
      <c r="CDV20" s="87"/>
      <c r="CDW20" s="87"/>
      <c r="CDX20" s="87"/>
      <c r="CDY20" s="87"/>
      <c r="CDZ20" s="87"/>
      <c r="CEA20" s="87"/>
      <c r="CEB20" s="87"/>
      <c r="CEC20" s="87"/>
      <c r="CED20" s="87"/>
      <c r="CEE20" s="87"/>
      <c r="CEF20" s="87"/>
      <c r="CEG20" s="87"/>
      <c r="CEH20" s="87"/>
      <c r="CEI20" s="87"/>
      <c r="CEJ20" s="87"/>
      <c r="CEK20" s="87"/>
      <c r="CEL20" s="87"/>
      <c r="CEM20" s="87"/>
      <c r="CEN20" s="87"/>
      <c r="CEO20" s="87"/>
      <c r="CEP20" s="87"/>
      <c r="CEQ20" s="87"/>
      <c r="CER20" s="87"/>
      <c r="CES20" s="87"/>
      <c r="CET20" s="87"/>
      <c r="CEU20" s="87"/>
      <c r="CEV20" s="87"/>
      <c r="CEW20" s="87"/>
      <c r="CEX20" s="87"/>
      <c r="CEY20" s="87"/>
      <c r="CEZ20" s="87"/>
      <c r="CFA20" s="87"/>
      <c r="CFB20" s="87"/>
      <c r="CFC20" s="87"/>
      <c r="CFD20" s="87"/>
      <c r="CFE20" s="87"/>
      <c r="CFF20" s="87"/>
      <c r="CFG20" s="87"/>
      <c r="CFH20" s="87"/>
      <c r="CFI20" s="87"/>
      <c r="CFJ20" s="87"/>
      <c r="CFK20" s="87"/>
      <c r="CFL20" s="87"/>
      <c r="CFM20" s="87"/>
      <c r="CFN20" s="87"/>
      <c r="CFO20" s="87"/>
      <c r="CFP20" s="87"/>
      <c r="CFQ20" s="87"/>
      <c r="CFR20" s="87"/>
      <c r="CFS20" s="87"/>
      <c r="CFT20" s="87"/>
      <c r="CFU20" s="87"/>
      <c r="CFV20" s="87"/>
      <c r="CFW20" s="87"/>
      <c r="CFX20" s="87"/>
      <c r="CFY20" s="87"/>
      <c r="CFZ20" s="87"/>
      <c r="CGA20" s="87"/>
      <c r="CGB20" s="87"/>
      <c r="CGC20" s="87"/>
      <c r="CGD20" s="87"/>
      <c r="CGE20" s="87"/>
      <c r="CGF20" s="87"/>
      <c r="CGG20" s="87"/>
      <c r="CGH20" s="87"/>
      <c r="CGI20" s="87"/>
      <c r="CGJ20" s="87"/>
      <c r="CGK20" s="87"/>
      <c r="CGL20" s="87"/>
      <c r="CGM20" s="87"/>
      <c r="CGN20" s="87"/>
      <c r="CGO20" s="87"/>
      <c r="CGP20" s="87"/>
      <c r="CGQ20" s="87"/>
      <c r="CGR20" s="87"/>
      <c r="CGS20" s="87"/>
      <c r="CGT20" s="87"/>
      <c r="CGU20" s="87"/>
      <c r="CGV20" s="87"/>
      <c r="CGW20" s="87"/>
      <c r="CGX20" s="87"/>
      <c r="CGY20" s="87"/>
      <c r="CGZ20" s="87"/>
      <c r="CHA20" s="87"/>
      <c r="CHB20" s="87"/>
      <c r="CHC20" s="87"/>
      <c r="CHD20" s="87"/>
      <c r="CHE20" s="87"/>
      <c r="CHF20" s="87"/>
      <c r="CHG20" s="87"/>
      <c r="CHH20" s="87"/>
      <c r="CHI20" s="87"/>
      <c r="CHJ20" s="87"/>
      <c r="CHK20" s="87"/>
      <c r="CHL20" s="87"/>
      <c r="CHM20" s="87"/>
      <c r="CHN20" s="87"/>
      <c r="CHO20" s="87"/>
      <c r="CHP20" s="87"/>
      <c r="CHQ20" s="87"/>
      <c r="CHR20" s="87"/>
      <c r="CHS20" s="87"/>
      <c r="CHT20" s="87"/>
      <c r="CHU20" s="87"/>
      <c r="CHV20" s="87"/>
      <c r="CHW20" s="87"/>
      <c r="CHX20" s="87"/>
      <c r="CHY20" s="87"/>
      <c r="CHZ20" s="87"/>
      <c r="CIA20" s="87"/>
      <c r="CIB20" s="87"/>
      <c r="CIC20" s="87"/>
      <c r="CID20" s="87"/>
      <c r="CIE20" s="87"/>
      <c r="CIF20" s="87"/>
      <c r="CIG20" s="87"/>
      <c r="CIH20" s="87"/>
      <c r="CII20" s="87"/>
      <c r="CIJ20" s="87"/>
      <c r="CIK20" s="87"/>
      <c r="CIL20" s="87"/>
      <c r="CIM20" s="87"/>
      <c r="CIN20" s="87"/>
      <c r="CIO20" s="87"/>
      <c r="CIP20" s="87"/>
      <c r="CIQ20" s="87"/>
      <c r="CIR20" s="87"/>
      <c r="CIS20" s="87"/>
      <c r="CIT20" s="87"/>
      <c r="CIU20" s="87"/>
      <c r="CIV20" s="87"/>
      <c r="CIW20" s="87"/>
      <c r="CIX20" s="87"/>
      <c r="CIY20" s="87"/>
      <c r="CIZ20" s="87"/>
      <c r="CJA20" s="87"/>
      <c r="CJB20" s="87"/>
      <c r="CJC20" s="87"/>
      <c r="CJD20" s="87"/>
      <c r="CJE20" s="87"/>
      <c r="CJF20" s="87"/>
      <c r="CJG20" s="87"/>
      <c r="CJH20" s="87"/>
      <c r="CJI20" s="87"/>
      <c r="CJJ20" s="87"/>
      <c r="CJK20" s="87"/>
      <c r="CJL20" s="87"/>
      <c r="CJM20" s="87"/>
      <c r="CJN20" s="87"/>
      <c r="CJO20" s="87"/>
      <c r="CJP20" s="87"/>
      <c r="CJQ20" s="87"/>
      <c r="CJR20" s="87"/>
      <c r="CJS20" s="87"/>
      <c r="CJT20" s="87"/>
      <c r="CJU20" s="87"/>
      <c r="CJV20" s="87"/>
      <c r="CJW20" s="87"/>
      <c r="CJX20" s="87"/>
      <c r="CJY20" s="87"/>
      <c r="CJZ20" s="87"/>
      <c r="CKA20" s="87"/>
      <c r="CKB20" s="87"/>
      <c r="CKC20" s="87"/>
      <c r="CKD20" s="87"/>
      <c r="CKE20" s="87"/>
      <c r="CKF20" s="87"/>
      <c r="CKG20" s="87"/>
      <c r="CKH20" s="87"/>
      <c r="CKI20" s="87"/>
      <c r="CKJ20" s="87"/>
      <c r="CKK20" s="87"/>
      <c r="CKL20" s="87"/>
      <c r="CKM20" s="87"/>
      <c r="CKN20" s="87"/>
      <c r="CKO20" s="87"/>
      <c r="CKP20" s="87"/>
      <c r="CKQ20" s="87"/>
      <c r="CKR20" s="87"/>
      <c r="CKS20" s="87"/>
      <c r="CKT20" s="87"/>
      <c r="CKU20" s="87"/>
      <c r="CKV20" s="87"/>
      <c r="CKW20" s="87"/>
      <c r="CKX20" s="87"/>
      <c r="CKY20" s="87"/>
      <c r="CKZ20" s="87"/>
      <c r="CLA20" s="87"/>
      <c r="CLB20" s="87"/>
      <c r="CLC20" s="87"/>
      <c r="CLD20" s="87"/>
      <c r="CLE20" s="87"/>
      <c r="CLF20" s="87"/>
      <c r="CLG20" s="87"/>
      <c r="CLH20" s="87"/>
      <c r="CLI20" s="87"/>
      <c r="CLJ20" s="87"/>
      <c r="CLK20" s="87"/>
      <c r="CLL20" s="87"/>
      <c r="CLM20" s="87"/>
      <c r="CLN20" s="87"/>
      <c r="CLO20" s="87"/>
      <c r="CLP20" s="87"/>
      <c r="CLQ20" s="87"/>
      <c r="CLR20" s="87"/>
      <c r="CLS20" s="87"/>
      <c r="CLT20" s="87"/>
      <c r="CLU20" s="87"/>
      <c r="CLV20" s="87"/>
      <c r="CLW20" s="87"/>
      <c r="CLX20" s="87"/>
      <c r="CLY20" s="87"/>
      <c r="CLZ20" s="87"/>
      <c r="CMA20" s="87"/>
      <c r="CMB20" s="87"/>
      <c r="CMC20" s="87"/>
      <c r="CMD20" s="87"/>
      <c r="CME20" s="87"/>
      <c r="CMF20" s="87"/>
      <c r="CMG20" s="87"/>
      <c r="CMH20" s="87"/>
      <c r="CMI20" s="87"/>
      <c r="CMJ20" s="87"/>
      <c r="CMK20" s="87"/>
      <c r="CML20" s="87"/>
      <c r="CMM20" s="87"/>
      <c r="CMN20" s="87"/>
      <c r="CMO20" s="87"/>
      <c r="CMP20" s="87"/>
      <c r="CMQ20" s="87"/>
      <c r="CMR20" s="87"/>
      <c r="CMS20" s="87"/>
      <c r="CMT20" s="87"/>
      <c r="CMU20" s="87"/>
      <c r="CMV20" s="87"/>
      <c r="CMW20" s="87"/>
      <c r="CMX20" s="87"/>
      <c r="CMY20" s="87"/>
      <c r="CMZ20" s="87"/>
      <c r="CNA20" s="87"/>
      <c r="CNB20" s="87"/>
      <c r="CNC20" s="87"/>
      <c r="CND20" s="87"/>
      <c r="CNE20" s="87"/>
      <c r="CNF20" s="87"/>
      <c r="CNG20" s="87"/>
      <c r="CNH20" s="87"/>
      <c r="CNI20" s="87"/>
      <c r="CNJ20" s="87"/>
      <c r="CNK20" s="87"/>
      <c r="CNL20" s="87"/>
      <c r="CNM20" s="87"/>
      <c r="CNN20" s="87"/>
      <c r="CNO20" s="87"/>
      <c r="CNP20" s="87"/>
      <c r="CNQ20" s="87"/>
      <c r="CNR20" s="87"/>
      <c r="CNS20" s="87"/>
      <c r="CNT20" s="87"/>
      <c r="CNU20" s="87"/>
      <c r="CNV20" s="87"/>
      <c r="CNW20" s="87"/>
      <c r="CNX20" s="87"/>
      <c r="CNY20" s="87"/>
      <c r="CNZ20" s="87"/>
      <c r="COA20" s="87"/>
      <c r="COB20" s="87"/>
      <c r="COC20" s="87"/>
      <c r="COD20" s="87"/>
      <c r="COE20" s="87"/>
      <c r="COF20" s="87"/>
      <c r="COG20" s="87"/>
      <c r="COH20" s="87"/>
      <c r="COI20" s="87"/>
      <c r="COJ20" s="87"/>
      <c r="COK20" s="87"/>
      <c r="COL20" s="87"/>
      <c r="COM20" s="87"/>
      <c r="CON20" s="87"/>
      <c r="COO20" s="87"/>
      <c r="COP20" s="87"/>
      <c r="COQ20" s="87"/>
      <c r="COR20" s="87"/>
      <c r="COS20" s="87"/>
      <c r="COT20" s="87"/>
      <c r="COU20" s="87"/>
      <c r="COV20" s="87"/>
      <c r="COW20" s="87"/>
      <c r="COX20" s="87"/>
      <c r="COY20" s="87"/>
      <c r="COZ20" s="87"/>
      <c r="CPA20" s="87"/>
      <c r="CPB20" s="87"/>
      <c r="CPC20" s="87"/>
      <c r="CPD20" s="87"/>
      <c r="CPE20" s="87"/>
      <c r="CPF20" s="87"/>
      <c r="CPG20" s="87"/>
      <c r="CPH20" s="87"/>
      <c r="CPI20" s="87"/>
      <c r="CPJ20" s="87"/>
      <c r="CPK20" s="87"/>
      <c r="CPL20" s="87"/>
      <c r="CPM20" s="87"/>
      <c r="CPN20" s="87"/>
      <c r="CPO20" s="87"/>
      <c r="CPP20" s="87"/>
      <c r="CPQ20" s="87"/>
      <c r="CPR20" s="87"/>
      <c r="CPS20" s="87"/>
      <c r="CPT20" s="87"/>
      <c r="CPU20" s="87"/>
      <c r="CPV20" s="87"/>
      <c r="CPW20" s="87"/>
      <c r="CPX20" s="87"/>
      <c r="CPY20" s="87"/>
      <c r="CPZ20" s="87"/>
      <c r="CQA20" s="87"/>
      <c r="CQB20" s="87"/>
      <c r="CQC20" s="87"/>
      <c r="CQD20" s="87"/>
      <c r="CQE20" s="87"/>
      <c r="CQF20" s="87"/>
      <c r="CQG20" s="87"/>
      <c r="CQH20" s="87"/>
      <c r="CQI20" s="87"/>
      <c r="CQJ20" s="87"/>
      <c r="CQK20" s="87"/>
      <c r="CQL20" s="87"/>
      <c r="CQM20" s="87"/>
      <c r="CQN20" s="87"/>
      <c r="CQO20" s="87"/>
      <c r="CQP20" s="87"/>
      <c r="CQQ20" s="87"/>
      <c r="CQR20" s="87"/>
      <c r="CQS20" s="87"/>
      <c r="CQT20" s="87"/>
      <c r="CQU20" s="87"/>
      <c r="CQV20" s="87"/>
      <c r="CQW20" s="87"/>
      <c r="CQX20" s="87"/>
      <c r="CQY20" s="87"/>
      <c r="CQZ20" s="87"/>
      <c r="CRA20" s="87"/>
      <c r="CRB20" s="87"/>
      <c r="CRC20" s="87"/>
      <c r="CRD20" s="87"/>
      <c r="CRE20" s="87"/>
      <c r="CRF20" s="87"/>
      <c r="CRG20" s="87"/>
      <c r="CRH20" s="87"/>
      <c r="CRI20" s="87"/>
      <c r="CRJ20" s="87"/>
      <c r="CRK20" s="87"/>
      <c r="CRL20" s="87"/>
      <c r="CRM20" s="87"/>
      <c r="CRN20" s="87"/>
      <c r="CRO20" s="87"/>
      <c r="CRP20" s="87"/>
      <c r="CRQ20" s="87"/>
      <c r="CRR20" s="87"/>
      <c r="CRS20" s="87"/>
      <c r="CRT20" s="87"/>
      <c r="CRU20" s="87"/>
      <c r="CRV20" s="87"/>
      <c r="CRW20" s="87"/>
      <c r="CRX20" s="87"/>
      <c r="CRY20" s="87"/>
      <c r="CRZ20" s="87"/>
      <c r="CSA20" s="87"/>
      <c r="CSB20" s="87"/>
      <c r="CSC20" s="87"/>
      <c r="CSD20" s="87"/>
      <c r="CSE20" s="87"/>
      <c r="CSF20" s="87"/>
      <c r="CSG20" s="87"/>
      <c r="CSH20" s="87"/>
      <c r="CSI20" s="87"/>
      <c r="CSJ20" s="87"/>
      <c r="CSK20" s="87"/>
      <c r="CSL20" s="87"/>
      <c r="CSM20" s="87"/>
      <c r="CSN20" s="87"/>
      <c r="CSO20" s="87"/>
      <c r="CSP20" s="87"/>
      <c r="CSQ20" s="87"/>
      <c r="CSR20" s="87"/>
      <c r="CSS20" s="87"/>
      <c r="CST20" s="87"/>
      <c r="CSU20" s="87"/>
      <c r="CSV20" s="87"/>
      <c r="CSW20" s="87"/>
      <c r="CSX20" s="87"/>
      <c r="CSY20" s="87"/>
      <c r="CSZ20" s="87"/>
      <c r="CTA20" s="87"/>
      <c r="CTB20" s="87"/>
      <c r="CTC20" s="87"/>
      <c r="CTD20" s="87"/>
      <c r="CTE20" s="87"/>
      <c r="CTF20" s="87"/>
      <c r="CTG20" s="87"/>
      <c r="CTH20" s="87"/>
      <c r="CTI20" s="87"/>
      <c r="CTJ20" s="87"/>
      <c r="CTK20" s="87"/>
      <c r="CTL20" s="87"/>
      <c r="CTM20" s="87"/>
      <c r="CTN20" s="87"/>
      <c r="CTO20" s="87"/>
      <c r="CTP20" s="87"/>
      <c r="CTQ20" s="87"/>
      <c r="CTR20" s="87"/>
      <c r="CTS20" s="87"/>
      <c r="CTT20" s="87"/>
      <c r="CTU20" s="87"/>
      <c r="CTV20" s="87"/>
      <c r="CTW20" s="87"/>
      <c r="CTX20" s="87"/>
      <c r="CTY20" s="87"/>
      <c r="CTZ20" s="87"/>
      <c r="CUA20" s="87"/>
      <c r="CUB20" s="87"/>
      <c r="CUC20" s="87"/>
      <c r="CUD20" s="87"/>
      <c r="CUE20" s="87"/>
      <c r="CUF20" s="87"/>
      <c r="CUG20" s="87"/>
      <c r="CUH20" s="87"/>
      <c r="CUI20" s="87"/>
      <c r="CUJ20" s="87"/>
      <c r="CUK20" s="87"/>
      <c r="CUL20" s="87"/>
      <c r="CUM20" s="87"/>
      <c r="CUN20" s="87"/>
      <c r="CUO20" s="87"/>
      <c r="CUP20" s="87"/>
      <c r="CUQ20" s="87"/>
      <c r="CUR20" s="87"/>
      <c r="CUS20" s="87"/>
      <c r="CUT20" s="87"/>
      <c r="CUU20" s="87"/>
      <c r="CUV20" s="87"/>
      <c r="CUW20" s="87"/>
      <c r="CUX20" s="87"/>
      <c r="CUY20" s="87"/>
      <c r="CUZ20" s="87"/>
      <c r="CVA20" s="87"/>
      <c r="CVB20" s="87"/>
      <c r="CVC20" s="87"/>
      <c r="CVD20" s="87"/>
      <c r="CVE20" s="87"/>
      <c r="CVF20" s="87"/>
      <c r="CVG20" s="87"/>
      <c r="CVH20" s="87"/>
      <c r="CVI20" s="87"/>
      <c r="CVJ20" s="87"/>
      <c r="CVK20" s="87"/>
      <c r="CVL20" s="87"/>
      <c r="CVM20" s="87"/>
      <c r="CVN20" s="87"/>
      <c r="CVO20" s="87"/>
      <c r="CVP20" s="87"/>
      <c r="CVQ20" s="87"/>
      <c r="CVR20" s="87"/>
      <c r="CVS20" s="87"/>
      <c r="CVT20" s="87"/>
      <c r="CVU20" s="87"/>
      <c r="CVV20" s="87"/>
      <c r="CVW20" s="87"/>
      <c r="CVX20" s="87"/>
      <c r="CVY20" s="87"/>
      <c r="CVZ20" s="87"/>
      <c r="CWA20" s="87"/>
      <c r="CWB20" s="87"/>
      <c r="CWC20" s="87"/>
      <c r="CWD20" s="87"/>
      <c r="CWE20" s="87"/>
      <c r="CWF20" s="87"/>
      <c r="CWG20" s="87"/>
      <c r="CWH20" s="87"/>
      <c r="CWI20" s="87"/>
      <c r="CWJ20" s="87"/>
      <c r="CWK20" s="87"/>
      <c r="CWL20" s="87"/>
      <c r="CWM20" s="87"/>
      <c r="CWN20" s="87"/>
      <c r="CWO20" s="87"/>
      <c r="CWP20" s="87"/>
      <c r="CWQ20" s="87"/>
      <c r="CWR20" s="87"/>
      <c r="CWS20" s="87"/>
      <c r="CWT20" s="87"/>
      <c r="CWU20" s="87"/>
      <c r="CWV20" s="87"/>
      <c r="CWW20" s="87"/>
      <c r="CWX20" s="87"/>
      <c r="CWY20" s="87"/>
      <c r="CWZ20" s="87"/>
      <c r="CXA20" s="87"/>
      <c r="CXB20" s="87"/>
      <c r="CXC20" s="87"/>
      <c r="CXD20" s="87"/>
      <c r="CXE20" s="87"/>
      <c r="CXF20" s="87"/>
      <c r="CXG20" s="87"/>
      <c r="CXH20" s="87"/>
      <c r="CXI20" s="87"/>
      <c r="CXJ20" s="87"/>
      <c r="CXK20" s="87"/>
      <c r="CXL20" s="87"/>
      <c r="CXM20" s="87"/>
      <c r="CXN20" s="87"/>
      <c r="CXO20" s="87"/>
      <c r="CXP20" s="87"/>
      <c r="CXQ20" s="87"/>
      <c r="CXR20" s="87"/>
      <c r="CXS20" s="87"/>
      <c r="CXT20" s="87"/>
      <c r="CXU20" s="87"/>
      <c r="CXV20" s="87"/>
      <c r="CXW20" s="87"/>
      <c r="CXX20" s="87"/>
      <c r="CXY20" s="87"/>
      <c r="CXZ20" s="87"/>
      <c r="CYA20" s="87"/>
      <c r="CYB20" s="87"/>
      <c r="CYC20" s="87"/>
      <c r="CYD20" s="87"/>
      <c r="CYE20" s="87"/>
      <c r="CYF20" s="87"/>
      <c r="CYG20" s="87"/>
      <c r="CYH20" s="87"/>
      <c r="CYI20" s="87"/>
      <c r="CYJ20" s="87"/>
      <c r="CYK20" s="87"/>
      <c r="CYL20" s="87"/>
      <c r="CYM20" s="87"/>
      <c r="CYN20" s="87"/>
      <c r="CYO20" s="87"/>
      <c r="CYP20" s="87"/>
      <c r="CYQ20" s="87"/>
      <c r="CYR20" s="87"/>
      <c r="CYS20" s="87"/>
      <c r="CYT20" s="87"/>
      <c r="CYU20" s="87"/>
      <c r="CYV20" s="87"/>
      <c r="CYW20" s="87"/>
      <c r="CYX20" s="87"/>
      <c r="CYY20" s="87"/>
      <c r="CYZ20" s="87"/>
      <c r="CZA20" s="87"/>
      <c r="CZB20" s="87"/>
      <c r="CZC20" s="87"/>
      <c r="CZD20" s="87"/>
      <c r="CZE20" s="87"/>
      <c r="CZF20" s="87"/>
      <c r="CZG20" s="87"/>
      <c r="CZH20" s="87"/>
      <c r="CZI20" s="87"/>
      <c r="CZJ20" s="87"/>
      <c r="CZK20" s="87"/>
      <c r="CZL20" s="87"/>
      <c r="CZM20" s="87"/>
      <c r="CZN20" s="87"/>
      <c r="CZO20" s="87"/>
      <c r="CZP20" s="87"/>
      <c r="CZQ20" s="87"/>
      <c r="CZR20" s="87"/>
      <c r="CZS20" s="87"/>
      <c r="CZT20" s="87"/>
      <c r="CZU20" s="87"/>
      <c r="CZV20" s="87"/>
      <c r="CZW20" s="87"/>
      <c r="CZX20" s="87"/>
      <c r="CZY20" s="87"/>
      <c r="CZZ20" s="87"/>
      <c r="DAA20" s="87"/>
      <c r="DAB20" s="87"/>
      <c r="DAC20" s="87"/>
      <c r="DAD20" s="87"/>
      <c r="DAE20" s="87"/>
      <c r="DAF20" s="87"/>
      <c r="DAG20" s="87"/>
      <c r="DAH20" s="87"/>
      <c r="DAI20" s="87"/>
      <c r="DAJ20" s="87"/>
      <c r="DAK20" s="87"/>
      <c r="DAL20" s="87"/>
      <c r="DAM20" s="87"/>
      <c r="DAN20" s="87"/>
      <c r="DAO20" s="87"/>
      <c r="DAP20" s="87"/>
      <c r="DAQ20" s="87"/>
      <c r="DAR20" s="87"/>
      <c r="DAS20" s="87"/>
      <c r="DAT20" s="87"/>
      <c r="DAU20" s="87"/>
      <c r="DAV20" s="87"/>
      <c r="DAW20" s="87"/>
      <c r="DAX20" s="87"/>
      <c r="DAY20" s="87"/>
      <c r="DAZ20" s="87"/>
      <c r="DBA20" s="87"/>
      <c r="DBB20" s="87"/>
      <c r="DBC20" s="87"/>
      <c r="DBD20" s="87"/>
      <c r="DBE20" s="87"/>
      <c r="DBF20" s="87"/>
      <c r="DBG20" s="87"/>
      <c r="DBH20" s="87"/>
      <c r="DBI20" s="87"/>
      <c r="DBJ20" s="87"/>
      <c r="DBK20" s="87"/>
      <c r="DBL20" s="87"/>
      <c r="DBM20" s="87"/>
      <c r="DBN20" s="87"/>
      <c r="DBO20" s="87"/>
      <c r="DBP20" s="87"/>
      <c r="DBQ20" s="87"/>
      <c r="DBR20" s="87"/>
      <c r="DBS20" s="87"/>
      <c r="DBT20" s="87"/>
      <c r="DBU20" s="87"/>
      <c r="DBV20" s="87"/>
      <c r="DBW20" s="87"/>
      <c r="DBX20" s="87"/>
      <c r="DBY20" s="87"/>
      <c r="DBZ20" s="87"/>
      <c r="DCA20" s="87"/>
      <c r="DCB20" s="87"/>
      <c r="DCC20" s="87"/>
      <c r="DCD20" s="87"/>
      <c r="DCE20" s="87"/>
      <c r="DCF20" s="87"/>
      <c r="DCG20" s="87"/>
      <c r="DCH20" s="87"/>
      <c r="DCI20" s="87"/>
      <c r="DCJ20" s="87"/>
      <c r="DCK20" s="87"/>
      <c r="DCL20" s="87"/>
      <c r="DCM20" s="87"/>
      <c r="DCN20" s="87"/>
      <c r="DCO20" s="87"/>
      <c r="DCP20" s="87"/>
      <c r="DCQ20" s="87"/>
      <c r="DCR20" s="87"/>
      <c r="DCS20" s="87"/>
      <c r="DCT20" s="87"/>
      <c r="DCU20" s="87"/>
      <c r="DCV20" s="87"/>
      <c r="DCW20" s="87"/>
      <c r="DCX20" s="87"/>
      <c r="DCY20" s="87"/>
      <c r="DCZ20" s="87"/>
      <c r="DDA20" s="87"/>
      <c r="DDB20" s="87"/>
      <c r="DDC20" s="87"/>
      <c r="DDD20" s="87"/>
      <c r="DDE20" s="87"/>
      <c r="DDF20" s="87"/>
      <c r="DDG20" s="87"/>
      <c r="DDH20" s="87"/>
      <c r="DDI20" s="87"/>
      <c r="DDJ20" s="87"/>
      <c r="DDK20" s="87"/>
      <c r="DDL20" s="87"/>
      <c r="DDM20" s="87"/>
      <c r="DDN20" s="87"/>
      <c r="DDO20" s="87"/>
      <c r="DDP20" s="87"/>
      <c r="DDQ20" s="87"/>
      <c r="DDR20" s="87"/>
      <c r="DDS20" s="87"/>
      <c r="DDT20" s="87"/>
      <c r="DDU20" s="87"/>
      <c r="DDV20" s="87"/>
      <c r="DDW20" s="87"/>
      <c r="DDX20" s="87"/>
      <c r="DDY20" s="87"/>
      <c r="DDZ20" s="87"/>
      <c r="DEA20" s="87"/>
      <c r="DEB20" s="87"/>
      <c r="DEC20" s="87"/>
      <c r="DED20" s="87"/>
      <c r="DEE20" s="87"/>
      <c r="DEF20" s="87"/>
      <c r="DEG20" s="87"/>
      <c r="DEH20" s="87"/>
      <c r="DEI20" s="87"/>
      <c r="DEJ20" s="87"/>
      <c r="DEK20" s="87"/>
      <c r="DEL20" s="87"/>
      <c r="DEM20" s="87"/>
      <c r="DEN20" s="87"/>
      <c r="DEO20" s="87"/>
      <c r="DEP20" s="87"/>
      <c r="DEQ20" s="87"/>
      <c r="DER20" s="87"/>
      <c r="DES20" s="87"/>
      <c r="DET20" s="87"/>
      <c r="DEU20" s="87"/>
      <c r="DEV20" s="87"/>
      <c r="DEW20" s="87"/>
      <c r="DEX20" s="87"/>
      <c r="DEY20" s="87"/>
      <c r="DEZ20" s="87"/>
      <c r="DFA20" s="87"/>
      <c r="DFB20" s="87"/>
      <c r="DFC20" s="87"/>
      <c r="DFD20" s="87"/>
      <c r="DFE20" s="87"/>
      <c r="DFF20" s="87"/>
      <c r="DFG20" s="87"/>
      <c r="DFH20" s="87"/>
      <c r="DFI20" s="87"/>
      <c r="DFJ20" s="87"/>
      <c r="DFK20" s="87"/>
      <c r="DFL20" s="87"/>
      <c r="DFM20" s="87"/>
      <c r="DFN20" s="87"/>
      <c r="DFO20" s="87"/>
      <c r="DFP20" s="87"/>
      <c r="DFQ20" s="87"/>
      <c r="DFR20" s="87"/>
      <c r="DFS20" s="87"/>
      <c r="DFT20" s="87"/>
      <c r="DFU20" s="87"/>
      <c r="DFV20" s="87"/>
      <c r="DFW20" s="87"/>
      <c r="DFX20" s="87"/>
      <c r="DFY20" s="87"/>
      <c r="DFZ20" s="87"/>
      <c r="DGA20" s="87"/>
      <c r="DGB20" s="87"/>
      <c r="DGC20" s="87"/>
      <c r="DGD20" s="87"/>
      <c r="DGE20" s="87"/>
      <c r="DGF20" s="87"/>
      <c r="DGG20" s="87"/>
      <c r="DGH20" s="87"/>
      <c r="DGI20" s="87"/>
      <c r="DGJ20" s="87"/>
      <c r="DGK20" s="87"/>
      <c r="DGL20" s="87"/>
      <c r="DGM20" s="87"/>
      <c r="DGN20" s="87"/>
      <c r="DGO20" s="87"/>
      <c r="DGP20" s="87"/>
      <c r="DGQ20" s="87"/>
      <c r="DGR20" s="87"/>
      <c r="DGS20" s="87"/>
      <c r="DGT20" s="87"/>
      <c r="DGU20" s="87"/>
      <c r="DGV20" s="87"/>
      <c r="DGW20" s="87"/>
      <c r="DGX20" s="87"/>
      <c r="DGY20" s="87"/>
      <c r="DGZ20" s="87"/>
      <c r="DHA20" s="87"/>
      <c r="DHB20" s="87"/>
      <c r="DHC20" s="87"/>
      <c r="DHD20" s="87"/>
      <c r="DHE20" s="87"/>
      <c r="DHF20" s="87"/>
      <c r="DHG20" s="87"/>
      <c r="DHH20" s="87"/>
      <c r="DHI20" s="87"/>
      <c r="DHJ20" s="87"/>
      <c r="DHK20" s="87"/>
      <c r="DHL20" s="87"/>
      <c r="DHM20" s="87"/>
      <c r="DHN20" s="87"/>
      <c r="DHO20" s="87"/>
      <c r="DHP20" s="87"/>
      <c r="DHQ20" s="87"/>
      <c r="DHR20" s="87"/>
      <c r="DHS20" s="87"/>
      <c r="DHT20" s="87"/>
      <c r="DHU20" s="87"/>
      <c r="DHV20" s="87"/>
      <c r="DHW20" s="87"/>
      <c r="DHX20" s="87"/>
      <c r="DHY20" s="87"/>
      <c r="DHZ20" s="87"/>
      <c r="DIA20" s="87"/>
      <c r="DIB20" s="87"/>
      <c r="DIC20" s="87"/>
      <c r="DID20" s="87"/>
      <c r="DIE20" s="87"/>
      <c r="DIF20" s="87"/>
      <c r="DIG20" s="87"/>
      <c r="DIH20" s="87"/>
      <c r="DII20" s="87"/>
      <c r="DIJ20" s="87"/>
      <c r="DIK20" s="87"/>
      <c r="DIL20" s="87"/>
      <c r="DIM20" s="87"/>
      <c r="DIN20" s="87"/>
      <c r="DIO20" s="87"/>
      <c r="DIP20" s="87"/>
      <c r="DIQ20" s="87"/>
      <c r="DIR20" s="87"/>
      <c r="DIS20" s="87"/>
      <c r="DIT20" s="87"/>
      <c r="DIU20" s="87"/>
      <c r="DIV20" s="87"/>
      <c r="DIW20" s="87"/>
      <c r="DIX20" s="87"/>
      <c r="DIY20" s="87"/>
      <c r="DIZ20" s="87"/>
      <c r="DJA20" s="87"/>
      <c r="DJB20" s="87"/>
      <c r="DJC20" s="87"/>
      <c r="DJD20" s="87"/>
      <c r="DJE20" s="87"/>
      <c r="DJF20" s="87"/>
      <c r="DJG20" s="87"/>
      <c r="DJH20" s="87"/>
      <c r="DJI20" s="87"/>
      <c r="DJJ20" s="87"/>
      <c r="DJK20" s="87"/>
      <c r="DJL20" s="87"/>
      <c r="DJM20" s="87"/>
      <c r="DJN20" s="87"/>
      <c r="DJO20" s="87"/>
      <c r="DJP20" s="87"/>
      <c r="DJQ20" s="87"/>
      <c r="DJR20" s="87"/>
      <c r="DJS20" s="87"/>
      <c r="DJT20" s="87"/>
      <c r="DJU20" s="87"/>
      <c r="DJV20" s="87"/>
      <c r="DJW20" s="87"/>
      <c r="DJX20" s="87"/>
      <c r="DJY20" s="87"/>
      <c r="DJZ20" s="87"/>
      <c r="DKA20" s="87"/>
      <c r="DKB20" s="87"/>
      <c r="DKC20" s="87"/>
      <c r="DKD20" s="87"/>
      <c r="DKE20" s="87"/>
      <c r="DKF20" s="87"/>
      <c r="DKG20" s="87"/>
      <c r="DKH20" s="87"/>
      <c r="DKI20" s="87"/>
      <c r="DKJ20" s="87"/>
      <c r="DKK20" s="87"/>
      <c r="DKL20" s="87"/>
      <c r="DKM20" s="87"/>
      <c r="DKN20" s="87"/>
      <c r="DKO20" s="87"/>
      <c r="DKP20" s="87"/>
      <c r="DKQ20" s="87"/>
      <c r="DKR20" s="87"/>
      <c r="DKS20" s="87"/>
      <c r="DKT20" s="87"/>
      <c r="DKU20" s="87"/>
      <c r="DKV20" s="87"/>
      <c r="DKW20" s="87"/>
      <c r="DKX20" s="87"/>
      <c r="DKY20" s="87"/>
      <c r="DKZ20" s="87"/>
      <c r="DLA20" s="87"/>
      <c r="DLB20" s="87"/>
      <c r="DLC20" s="87"/>
      <c r="DLD20" s="87"/>
      <c r="DLE20" s="87"/>
      <c r="DLF20" s="87"/>
      <c r="DLG20" s="87"/>
      <c r="DLH20" s="87"/>
      <c r="DLI20" s="87"/>
      <c r="DLJ20" s="87"/>
      <c r="DLK20" s="87"/>
      <c r="DLL20" s="87"/>
      <c r="DLM20" s="87"/>
      <c r="DLN20" s="87"/>
      <c r="DLO20" s="87"/>
      <c r="DLP20" s="87"/>
      <c r="DLQ20" s="87"/>
      <c r="DLR20" s="87"/>
      <c r="DLS20" s="87"/>
      <c r="DLT20" s="87"/>
      <c r="DLU20" s="87"/>
      <c r="DLV20" s="87"/>
      <c r="DLW20" s="87"/>
      <c r="DLX20" s="87"/>
      <c r="DLY20" s="87"/>
      <c r="DLZ20" s="87"/>
      <c r="DMA20" s="87"/>
      <c r="DMB20" s="87"/>
      <c r="DMC20" s="87"/>
      <c r="DMD20" s="87"/>
      <c r="DME20" s="87"/>
      <c r="DMF20" s="87"/>
      <c r="DMG20" s="87"/>
      <c r="DMH20" s="87"/>
      <c r="DMI20" s="87"/>
      <c r="DMJ20" s="87"/>
      <c r="DMK20" s="87"/>
      <c r="DML20" s="87"/>
      <c r="DMM20" s="87"/>
      <c r="DMN20" s="87"/>
      <c r="DMO20" s="87"/>
      <c r="DMP20" s="87"/>
      <c r="DMQ20" s="87"/>
      <c r="DMR20" s="87"/>
      <c r="DMS20" s="87"/>
      <c r="DMT20" s="87"/>
      <c r="DMU20" s="87"/>
      <c r="DMV20" s="87"/>
      <c r="DMW20" s="87"/>
      <c r="DMX20" s="87"/>
      <c r="DMY20" s="87"/>
      <c r="DMZ20" s="87"/>
      <c r="DNA20" s="87"/>
      <c r="DNB20" s="87"/>
      <c r="DNC20" s="87"/>
      <c r="DND20" s="87"/>
      <c r="DNE20" s="87"/>
      <c r="DNF20" s="87"/>
      <c r="DNG20" s="87"/>
      <c r="DNH20" s="87"/>
      <c r="DNI20" s="87"/>
      <c r="DNJ20" s="87"/>
      <c r="DNK20" s="87"/>
      <c r="DNL20" s="87"/>
      <c r="DNM20" s="87"/>
      <c r="DNN20" s="87"/>
      <c r="DNO20" s="87"/>
      <c r="DNP20" s="87"/>
      <c r="DNQ20" s="87"/>
      <c r="DNR20" s="87"/>
      <c r="DNS20" s="87"/>
      <c r="DNT20" s="87"/>
      <c r="DNU20" s="87"/>
      <c r="DNV20" s="87"/>
      <c r="DNW20" s="87"/>
      <c r="DNX20" s="87"/>
      <c r="DNY20" s="87"/>
      <c r="DNZ20" s="87"/>
      <c r="DOA20" s="87"/>
      <c r="DOB20" s="87"/>
      <c r="DOC20" s="87"/>
      <c r="DOD20" s="87"/>
      <c r="DOE20" s="87"/>
      <c r="DOF20" s="87"/>
      <c r="DOG20" s="87"/>
      <c r="DOH20" s="87"/>
      <c r="DOI20" s="87"/>
      <c r="DOJ20" s="87"/>
      <c r="DOK20" s="87"/>
      <c r="DOL20" s="87"/>
      <c r="DOM20" s="87"/>
      <c r="DON20" s="87"/>
      <c r="DOO20" s="87"/>
      <c r="DOP20" s="87"/>
      <c r="DOQ20" s="87"/>
      <c r="DOR20" s="87"/>
      <c r="DOS20" s="87"/>
      <c r="DOT20" s="87"/>
      <c r="DOU20" s="87"/>
      <c r="DOV20" s="87"/>
      <c r="DOW20" s="87"/>
      <c r="DOX20" s="87"/>
      <c r="DOY20" s="87"/>
      <c r="DOZ20" s="87"/>
      <c r="DPA20" s="87"/>
      <c r="DPB20" s="87"/>
      <c r="DPC20" s="87"/>
      <c r="DPD20" s="87"/>
      <c r="DPE20" s="87"/>
      <c r="DPF20" s="87"/>
      <c r="DPG20" s="87"/>
      <c r="DPH20" s="87"/>
      <c r="DPI20" s="87"/>
      <c r="DPJ20" s="87"/>
      <c r="DPK20" s="87"/>
      <c r="DPL20" s="87"/>
      <c r="DPM20" s="87"/>
      <c r="DPN20" s="87"/>
      <c r="DPO20" s="87"/>
      <c r="DPP20" s="87"/>
      <c r="DPQ20" s="87"/>
      <c r="DPR20" s="87"/>
      <c r="DPS20" s="87"/>
      <c r="DPT20" s="87"/>
      <c r="DPU20" s="87"/>
      <c r="DPV20" s="87"/>
      <c r="DPW20" s="87"/>
      <c r="DPX20" s="87"/>
      <c r="DPY20" s="87"/>
      <c r="DPZ20" s="87"/>
      <c r="DQA20" s="87"/>
      <c r="DQB20" s="87"/>
      <c r="DQC20" s="87"/>
      <c r="DQD20" s="87"/>
      <c r="DQE20" s="87"/>
      <c r="DQF20" s="87"/>
      <c r="DQG20" s="87"/>
      <c r="DQH20" s="87"/>
      <c r="DQI20" s="87"/>
      <c r="DQJ20" s="87"/>
      <c r="DQK20" s="87"/>
      <c r="DQL20" s="87"/>
      <c r="DQM20" s="87"/>
      <c r="DQN20" s="87"/>
      <c r="DQO20" s="87"/>
      <c r="DQP20" s="87"/>
      <c r="DQQ20" s="87"/>
      <c r="DQR20" s="87"/>
      <c r="DQS20" s="87"/>
      <c r="DQT20" s="87"/>
      <c r="DQU20" s="87"/>
      <c r="DQV20" s="87"/>
      <c r="DQW20" s="87"/>
      <c r="DQX20" s="87"/>
      <c r="DQY20" s="87"/>
      <c r="DQZ20" s="87"/>
      <c r="DRA20" s="87"/>
      <c r="DRB20" s="87"/>
      <c r="DRC20" s="87"/>
      <c r="DRD20" s="87"/>
      <c r="DRE20" s="87"/>
      <c r="DRF20" s="87"/>
      <c r="DRG20" s="87"/>
      <c r="DRH20" s="87"/>
      <c r="DRI20" s="87"/>
      <c r="DRJ20" s="87"/>
      <c r="DRK20" s="87"/>
      <c r="DRL20" s="87"/>
      <c r="DRM20" s="87"/>
      <c r="DRN20" s="87"/>
      <c r="DRO20" s="87"/>
      <c r="DRP20" s="87"/>
      <c r="DRQ20" s="87"/>
      <c r="DRR20" s="87"/>
      <c r="DRS20" s="87"/>
      <c r="DRT20" s="87"/>
      <c r="DRU20" s="87"/>
      <c r="DRV20" s="87"/>
      <c r="DRW20" s="87"/>
      <c r="DRX20" s="87"/>
      <c r="DRY20" s="87"/>
      <c r="DRZ20" s="87"/>
      <c r="DSA20" s="87"/>
      <c r="DSB20" s="87"/>
      <c r="DSC20" s="87"/>
      <c r="DSD20" s="87"/>
      <c r="DSE20" s="87"/>
      <c r="DSF20" s="87"/>
      <c r="DSG20" s="87"/>
      <c r="DSH20" s="87"/>
      <c r="DSI20" s="87"/>
      <c r="DSJ20" s="87"/>
      <c r="DSK20" s="87"/>
      <c r="DSL20" s="87"/>
      <c r="DSM20" s="87"/>
      <c r="DSN20" s="87"/>
      <c r="DSO20" s="87"/>
      <c r="DSP20" s="87"/>
      <c r="DSQ20" s="87"/>
      <c r="DSR20" s="87"/>
      <c r="DSS20" s="87"/>
      <c r="DST20" s="87"/>
      <c r="DSU20" s="87"/>
      <c r="DSV20" s="87"/>
      <c r="DSW20" s="87"/>
      <c r="DSX20" s="87"/>
      <c r="DSY20" s="87"/>
      <c r="DSZ20" s="87"/>
      <c r="DTA20" s="87"/>
      <c r="DTB20" s="87"/>
      <c r="DTC20" s="87"/>
      <c r="DTD20" s="87"/>
      <c r="DTE20" s="87"/>
      <c r="DTF20" s="87"/>
      <c r="DTG20" s="87"/>
      <c r="DTH20" s="87"/>
      <c r="DTI20" s="87"/>
      <c r="DTJ20" s="87"/>
      <c r="DTK20" s="87"/>
      <c r="DTL20" s="87"/>
      <c r="DTM20" s="87"/>
      <c r="DTN20" s="87"/>
      <c r="DTO20" s="87"/>
      <c r="DTP20" s="87"/>
      <c r="DTQ20" s="87"/>
      <c r="DTR20" s="87"/>
      <c r="DTS20" s="87"/>
      <c r="DTT20" s="87"/>
      <c r="DTU20" s="87"/>
      <c r="DTV20" s="87"/>
      <c r="DTW20" s="87"/>
      <c r="DTX20" s="87"/>
      <c r="DTY20" s="87"/>
      <c r="DTZ20" s="87"/>
      <c r="DUA20" s="87"/>
      <c r="DUB20" s="87"/>
      <c r="DUC20" s="87"/>
      <c r="DUD20" s="87"/>
      <c r="DUE20" s="87"/>
      <c r="DUF20" s="87"/>
      <c r="DUG20" s="87"/>
      <c r="DUH20" s="87"/>
      <c r="DUI20" s="87"/>
      <c r="DUJ20" s="87"/>
      <c r="DUK20" s="87"/>
      <c r="DUL20" s="87"/>
      <c r="DUM20" s="87"/>
      <c r="DUN20" s="87"/>
      <c r="DUO20" s="87"/>
      <c r="DUP20" s="87"/>
      <c r="DUQ20" s="87"/>
      <c r="DUR20" s="87"/>
      <c r="DUS20" s="87"/>
      <c r="DUT20" s="87"/>
      <c r="DUU20" s="87"/>
      <c r="DUV20" s="87"/>
      <c r="DUW20" s="87"/>
      <c r="DUX20" s="87"/>
      <c r="DUY20" s="87"/>
      <c r="DUZ20" s="87"/>
      <c r="DVA20" s="87"/>
      <c r="DVB20" s="87"/>
      <c r="DVC20" s="87"/>
      <c r="DVD20" s="87"/>
      <c r="DVE20" s="87"/>
      <c r="DVF20" s="87"/>
      <c r="DVG20" s="87"/>
      <c r="DVH20" s="87"/>
      <c r="DVI20" s="87"/>
      <c r="DVJ20" s="87"/>
      <c r="DVK20" s="87"/>
      <c r="DVL20" s="87"/>
      <c r="DVM20" s="87"/>
      <c r="DVN20" s="87"/>
      <c r="DVO20" s="87"/>
      <c r="DVP20" s="87"/>
      <c r="DVQ20" s="87"/>
      <c r="DVR20" s="87"/>
      <c r="DVS20" s="87"/>
      <c r="DVT20" s="87"/>
      <c r="DVU20" s="87"/>
      <c r="DVV20" s="87"/>
      <c r="DVW20" s="87"/>
      <c r="DVX20" s="87"/>
      <c r="DVY20" s="87"/>
      <c r="DVZ20" s="87"/>
      <c r="DWA20" s="87"/>
      <c r="DWB20" s="87"/>
      <c r="DWC20" s="87"/>
      <c r="DWD20" s="87"/>
      <c r="DWE20" s="87"/>
      <c r="DWF20" s="87"/>
      <c r="DWG20" s="87"/>
      <c r="DWH20" s="87"/>
      <c r="DWI20" s="87"/>
      <c r="DWJ20" s="87"/>
      <c r="DWK20" s="87"/>
      <c r="DWL20" s="87"/>
      <c r="DWM20" s="87"/>
      <c r="DWN20" s="87"/>
      <c r="DWO20" s="87"/>
      <c r="DWP20" s="87"/>
      <c r="DWQ20" s="87"/>
      <c r="DWR20" s="87"/>
      <c r="DWS20" s="87"/>
      <c r="DWT20" s="87"/>
      <c r="DWU20" s="87"/>
      <c r="DWV20" s="87"/>
      <c r="DWW20" s="87"/>
      <c r="DWX20" s="87"/>
      <c r="DWY20" s="87"/>
      <c r="DWZ20" s="87"/>
      <c r="DXA20" s="87"/>
      <c r="DXB20" s="87"/>
      <c r="DXC20" s="87"/>
      <c r="DXD20" s="87"/>
      <c r="DXE20" s="87"/>
      <c r="DXF20" s="87"/>
      <c r="DXG20" s="87"/>
      <c r="DXH20" s="87"/>
      <c r="DXI20" s="87"/>
      <c r="DXJ20" s="87"/>
      <c r="DXK20" s="87"/>
      <c r="DXL20" s="87"/>
      <c r="DXM20" s="87"/>
      <c r="DXN20" s="87"/>
      <c r="DXO20" s="87"/>
      <c r="DXP20" s="87"/>
      <c r="DXQ20" s="87"/>
      <c r="DXR20" s="87"/>
      <c r="DXS20" s="87"/>
      <c r="DXT20" s="87"/>
      <c r="DXU20" s="87"/>
      <c r="DXV20" s="87"/>
      <c r="DXW20" s="87"/>
      <c r="DXX20" s="87"/>
      <c r="DXY20" s="87"/>
      <c r="DXZ20" s="87"/>
      <c r="DYA20" s="87"/>
      <c r="DYB20" s="87"/>
      <c r="DYC20" s="87"/>
      <c r="DYD20" s="87"/>
      <c r="DYE20" s="87"/>
      <c r="DYF20" s="87"/>
      <c r="DYG20" s="87"/>
      <c r="DYH20" s="87"/>
      <c r="DYI20" s="87"/>
      <c r="DYJ20" s="87"/>
      <c r="DYK20" s="87"/>
      <c r="DYL20" s="87"/>
      <c r="DYM20" s="87"/>
      <c r="DYN20" s="87"/>
      <c r="DYO20" s="87"/>
      <c r="DYP20" s="87"/>
      <c r="DYQ20" s="87"/>
      <c r="DYR20" s="87"/>
      <c r="DYS20" s="87"/>
      <c r="DYT20" s="87"/>
      <c r="DYU20" s="87"/>
      <c r="DYV20" s="87"/>
      <c r="DYW20" s="87"/>
      <c r="DYX20" s="87"/>
      <c r="DYY20" s="87"/>
      <c r="DYZ20" s="87"/>
      <c r="DZA20" s="87"/>
      <c r="DZB20" s="87"/>
      <c r="DZC20" s="87"/>
      <c r="DZD20" s="87"/>
      <c r="DZE20" s="87"/>
      <c r="DZF20" s="87"/>
      <c r="DZG20" s="87"/>
      <c r="DZH20" s="87"/>
      <c r="DZI20" s="87"/>
      <c r="DZJ20" s="87"/>
      <c r="DZK20" s="87"/>
      <c r="DZL20" s="87"/>
      <c r="DZM20" s="87"/>
      <c r="DZN20" s="87"/>
      <c r="DZO20" s="87"/>
      <c r="DZP20" s="87"/>
      <c r="DZQ20" s="87"/>
      <c r="DZR20" s="87"/>
      <c r="DZS20" s="87"/>
      <c r="DZT20" s="87"/>
      <c r="DZU20" s="87"/>
      <c r="DZV20" s="87"/>
      <c r="DZW20" s="87"/>
      <c r="DZX20" s="87"/>
      <c r="DZY20" s="87"/>
      <c r="DZZ20" s="87"/>
      <c r="EAA20" s="87"/>
      <c r="EAB20" s="87"/>
      <c r="EAC20" s="87"/>
      <c r="EAD20" s="87"/>
      <c r="EAE20" s="87"/>
      <c r="EAF20" s="87"/>
      <c r="EAG20" s="87"/>
      <c r="EAH20" s="87"/>
      <c r="EAI20" s="87"/>
      <c r="EAJ20" s="87"/>
      <c r="EAK20" s="87"/>
      <c r="EAL20" s="87"/>
      <c r="EAM20" s="87"/>
      <c r="EAN20" s="87"/>
      <c r="EAO20" s="87"/>
      <c r="EAP20" s="87"/>
      <c r="EAQ20" s="87"/>
      <c r="EAR20" s="87"/>
      <c r="EAS20" s="87"/>
      <c r="EAT20" s="87"/>
      <c r="EAU20" s="87"/>
      <c r="EAV20" s="87"/>
      <c r="EAW20" s="87"/>
      <c r="EAX20" s="87"/>
      <c r="EAY20" s="87"/>
      <c r="EAZ20" s="87"/>
      <c r="EBA20" s="87"/>
      <c r="EBB20" s="87"/>
      <c r="EBC20" s="87"/>
      <c r="EBD20" s="87"/>
      <c r="EBE20" s="87"/>
      <c r="EBF20" s="87"/>
      <c r="EBG20" s="87"/>
      <c r="EBH20" s="87"/>
      <c r="EBI20" s="87"/>
      <c r="EBJ20" s="87"/>
      <c r="EBK20" s="87"/>
      <c r="EBL20" s="87"/>
      <c r="EBM20" s="87"/>
      <c r="EBN20" s="87"/>
      <c r="EBO20" s="87"/>
      <c r="EBP20" s="87"/>
      <c r="EBQ20" s="87"/>
      <c r="EBR20" s="87"/>
      <c r="EBS20" s="87"/>
      <c r="EBT20" s="87"/>
      <c r="EBU20" s="87"/>
      <c r="EBV20" s="87"/>
      <c r="EBW20" s="87"/>
      <c r="EBX20" s="87"/>
      <c r="EBY20" s="87"/>
      <c r="EBZ20" s="87"/>
      <c r="ECA20" s="87"/>
      <c r="ECB20" s="87"/>
      <c r="ECC20" s="87"/>
      <c r="ECD20" s="87"/>
      <c r="ECE20" s="87"/>
      <c r="ECF20" s="87"/>
      <c r="ECG20" s="87"/>
      <c r="ECH20" s="87"/>
      <c r="ECI20" s="87"/>
      <c r="ECJ20" s="87"/>
      <c r="ECK20" s="87"/>
      <c r="ECL20" s="87"/>
      <c r="ECM20" s="87"/>
      <c r="ECN20" s="87"/>
      <c r="ECO20" s="87"/>
      <c r="ECP20" s="87"/>
      <c r="ECQ20" s="87"/>
      <c r="ECR20" s="87"/>
      <c r="ECS20" s="87"/>
      <c r="ECT20" s="87"/>
      <c r="ECU20" s="87"/>
      <c r="ECV20" s="87"/>
      <c r="ECW20" s="87"/>
      <c r="ECX20" s="87"/>
      <c r="ECY20" s="87"/>
      <c r="ECZ20" s="87"/>
      <c r="EDA20" s="87"/>
      <c r="EDB20" s="87"/>
      <c r="EDC20" s="87"/>
      <c r="EDD20" s="87"/>
      <c r="EDE20" s="87"/>
      <c r="EDF20" s="87"/>
      <c r="EDG20" s="87"/>
      <c r="EDH20" s="87"/>
      <c r="EDI20" s="87"/>
      <c r="EDJ20" s="87"/>
      <c r="EDK20" s="87"/>
      <c r="EDL20" s="87"/>
      <c r="EDM20" s="87"/>
      <c r="EDN20" s="87"/>
      <c r="EDO20" s="87"/>
      <c r="EDP20" s="87"/>
      <c r="EDQ20" s="87"/>
      <c r="EDR20" s="87"/>
      <c r="EDS20" s="87"/>
      <c r="EDT20" s="87"/>
      <c r="EDU20" s="87"/>
      <c r="EDV20" s="87"/>
      <c r="EDW20" s="87"/>
      <c r="EDX20" s="87"/>
      <c r="EDY20" s="87"/>
      <c r="EDZ20" s="87"/>
      <c r="EEA20" s="87"/>
      <c r="EEB20" s="87"/>
      <c r="EEC20" s="87"/>
      <c r="EED20" s="87"/>
      <c r="EEE20" s="87"/>
      <c r="EEF20" s="87"/>
      <c r="EEG20" s="87"/>
      <c r="EEH20" s="87"/>
      <c r="EEI20" s="87"/>
      <c r="EEJ20" s="87"/>
      <c r="EEK20" s="87"/>
      <c r="EEL20" s="87"/>
      <c r="EEM20" s="87"/>
      <c r="EEN20" s="87"/>
      <c r="EEO20" s="87"/>
      <c r="EEP20" s="87"/>
      <c r="EEQ20" s="87"/>
      <c r="EER20" s="87"/>
      <c r="EES20" s="87"/>
      <c r="EET20" s="87"/>
      <c r="EEU20" s="87"/>
      <c r="EEV20" s="87"/>
      <c r="EEW20" s="87"/>
      <c r="EEX20" s="87"/>
      <c r="EEY20" s="87"/>
      <c r="EEZ20" s="87"/>
      <c r="EFA20" s="87"/>
      <c r="EFB20" s="87"/>
      <c r="EFC20" s="87"/>
      <c r="EFD20" s="87"/>
      <c r="EFE20" s="87"/>
      <c r="EFF20" s="87"/>
      <c r="EFG20" s="87"/>
      <c r="EFH20" s="87"/>
      <c r="EFI20" s="87"/>
      <c r="EFJ20" s="87"/>
      <c r="EFK20" s="87"/>
      <c r="EFL20" s="87"/>
      <c r="EFM20" s="87"/>
      <c r="EFN20" s="87"/>
      <c r="EFO20" s="87"/>
      <c r="EFP20" s="87"/>
      <c r="EFQ20" s="87"/>
      <c r="EFR20" s="87"/>
      <c r="EFS20" s="87"/>
      <c r="EFT20" s="87"/>
      <c r="EFU20" s="87"/>
      <c r="EFV20" s="87"/>
      <c r="EFW20" s="87"/>
      <c r="EFX20" s="87"/>
      <c r="EFY20" s="87"/>
      <c r="EFZ20" s="87"/>
      <c r="EGA20" s="87"/>
      <c r="EGB20" s="87"/>
      <c r="EGC20" s="87"/>
      <c r="EGD20" s="87"/>
      <c r="EGE20" s="87"/>
      <c r="EGF20" s="87"/>
      <c r="EGG20" s="87"/>
      <c r="EGH20" s="87"/>
      <c r="EGI20" s="87"/>
      <c r="EGJ20" s="87"/>
      <c r="EGK20" s="87"/>
      <c r="EGL20" s="87"/>
      <c r="EGM20" s="87"/>
      <c r="EGN20" s="87"/>
      <c r="EGO20" s="87"/>
      <c r="EGP20" s="87"/>
      <c r="EGQ20" s="87"/>
      <c r="EGR20" s="87"/>
      <c r="EGS20" s="87"/>
      <c r="EGT20" s="87"/>
      <c r="EGU20" s="87"/>
      <c r="EGV20" s="87"/>
      <c r="EGW20" s="87"/>
      <c r="EGX20" s="87"/>
      <c r="EGY20" s="87"/>
      <c r="EGZ20" s="87"/>
      <c r="EHA20" s="87"/>
      <c r="EHB20" s="87"/>
      <c r="EHC20" s="87"/>
      <c r="EHD20" s="87"/>
      <c r="EHE20" s="87"/>
      <c r="EHF20" s="87"/>
      <c r="EHG20" s="87"/>
      <c r="EHH20" s="87"/>
      <c r="EHI20" s="87"/>
      <c r="EHJ20" s="87"/>
      <c r="EHK20" s="87"/>
      <c r="EHL20" s="87"/>
      <c r="EHM20" s="87"/>
      <c r="EHN20" s="87"/>
      <c r="EHO20" s="87"/>
      <c r="EHP20" s="87"/>
      <c r="EHQ20" s="87"/>
      <c r="EHR20" s="87"/>
      <c r="EHS20" s="87"/>
      <c r="EHT20" s="87"/>
      <c r="EHU20" s="87"/>
      <c r="EHV20" s="87"/>
      <c r="EHW20" s="87"/>
      <c r="EHX20" s="87"/>
      <c r="EHY20" s="87"/>
      <c r="EHZ20" s="87"/>
      <c r="EIA20" s="87"/>
      <c r="EIB20" s="87"/>
      <c r="EIC20" s="87"/>
      <c r="EID20" s="87"/>
      <c r="EIE20" s="87"/>
      <c r="EIF20" s="87"/>
      <c r="EIG20" s="87"/>
      <c r="EIH20" s="87"/>
      <c r="EII20" s="87"/>
      <c r="EIJ20" s="87"/>
      <c r="EIK20" s="87"/>
      <c r="EIL20" s="87"/>
      <c r="EIM20" s="87"/>
      <c r="EIN20" s="87"/>
      <c r="EIO20" s="87"/>
      <c r="EIP20" s="87"/>
      <c r="EIQ20" s="87"/>
      <c r="EIR20" s="87"/>
      <c r="EIS20" s="87"/>
      <c r="EIT20" s="87"/>
      <c r="EIU20" s="87"/>
      <c r="EIV20" s="87"/>
      <c r="EIW20" s="87"/>
      <c r="EIX20" s="87"/>
      <c r="EIY20" s="87"/>
      <c r="EIZ20" s="87"/>
      <c r="EJA20" s="87"/>
      <c r="EJB20" s="87"/>
      <c r="EJC20" s="87"/>
      <c r="EJD20" s="87"/>
      <c r="EJE20" s="87"/>
      <c r="EJF20" s="87"/>
      <c r="EJG20" s="87"/>
      <c r="EJH20" s="87"/>
      <c r="EJI20" s="87"/>
      <c r="EJJ20" s="87"/>
      <c r="EJK20" s="87"/>
      <c r="EJL20" s="87"/>
      <c r="EJM20" s="87"/>
      <c r="EJN20" s="87"/>
      <c r="EJO20" s="87"/>
      <c r="EJP20" s="87"/>
      <c r="EJQ20" s="87"/>
      <c r="EJR20" s="87"/>
      <c r="EJS20" s="87"/>
      <c r="EJT20" s="87"/>
      <c r="EJU20" s="87"/>
      <c r="EJV20" s="87"/>
      <c r="EJW20" s="87"/>
      <c r="EJX20" s="87"/>
      <c r="EJY20" s="87"/>
      <c r="EJZ20" s="87"/>
      <c r="EKA20" s="87"/>
      <c r="EKB20" s="87"/>
      <c r="EKC20" s="87"/>
      <c r="EKD20" s="87"/>
      <c r="EKE20" s="87"/>
      <c r="EKF20" s="87"/>
      <c r="EKG20" s="87"/>
      <c r="EKH20" s="87"/>
      <c r="EKI20" s="87"/>
      <c r="EKJ20" s="87"/>
      <c r="EKK20" s="87"/>
      <c r="EKL20" s="87"/>
      <c r="EKM20" s="87"/>
      <c r="EKN20" s="87"/>
      <c r="EKO20" s="87"/>
      <c r="EKP20" s="87"/>
      <c r="EKQ20" s="87"/>
      <c r="EKR20" s="87"/>
      <c r="EKS20" s="87"/>
      <c r="EKT20" s="87"/>
      <c r="EKU20" s="87"/>
      <c r="EKV20" s="87"/>
      <c r="EKW20" s="87"/>
      <c r="EKX20" s="87"/>
      <c r="EKY20" s="87"/>
      <c r="EKZ20" s="87"/>
      <c r="ELA20" s="87"/>
      <c r="ELB20" s="87"/>
      <c r="ELC20" s="87"/>
      <c r="ELD20" s="87"/>
      <c r="ELE20" s="87"/>
      <c r="ELF20" s="87"/>
      <c r="ELG20" s="87"/>
      <c r="ELH20" s="87"/>
      <c r="ELI20" s="87"/>
      <c r="ELJ20" s="87"/>
      <c r="ELK20" s="87"/>
      <c r="ELL20" s="87"/>
      <c r="ELM20" s="87"/>
      <c r="ELN20" s="87"/>
      <c r="ELO20" s="87"/>
      <c r="ELP20" s="87"/>
      <c r="ELQ20" s="87"/>
      <c r="ELR20" s="87"/>
      <c r="ELS20" s="87"/>
      <c r="ELT20" s="87"/>
      <c r="ELU20" s="87"/>
      <c r="ELV20" s="87"/>
      <c r="ELW20" s="87"/>
      <c r="ELX20" s="87"/>
      <c r="ELY20" s="87"/>
      <c r="ELZ20" s="87"/>
      <c r="EMA20" s="87"/>
      <c r="EMB20" s="87"/>
      <c r="EMC20" s="87"/>
      <c r="EMD20" s="87"/>
      <c r="EME20" s="87"/>
      <c r="EMF20" s="87"/>
      <c r="EMG20" s="87"/>
      <c r="EMH20" s="87"/>
      <c r="EMI20" s="87"/>
      <c r="EMJ20" s="87"/>
      <c r="EMK20" s="87"/>
      <c r="EML20" s="87"/>
      <c r="EMM20" s="87"/>
      <c r="EMN20" s="87"/>
      <c r="EMO20" s="87"/>
      <c r="EMP20" s="87"/>
      <c r="EMQ20" s="87"/>
      <c r="EMR20" s="87"/>
      <c r="EMS20" s="87"/>
      <c r="EMT20" s="87"/>
      <c r="EMU20" s="87"/>
      <c r="EMV20" s="87"/>
      <c r="EMW20" s="87"/>
      <c r="EMX20" s="87"/>
      <c r="EMY20" s="87"/>
      <c r="EMZ20" s="87"/>
      <c r="ENA20" s="87"/>
      <c r="ENB20" s="87"/>
      <c r="ENC20" s="87"/>
      <c r="END20" s="87"/>
      <c r="ENE20" s="87"/>
      <c r="ENF20" s="87"/>
      <c r="ENG20" s="87"/>
      <c r="ENH20" s="87"/>
      <c r="ENI20" s="87"/>
      <c r="ENJ20" s="87"/>
      <c r="ENK20" s="87"/>
      <c r="ENL20" s="87"/>
      <c r="ENM20" s="87"/>
      <c r="ENN20" s="87"/>
      <c r="ENO20" s="87"/>
      <c r="ENP20" s="87"/>
      <c r="ENQ20" s="87"/>
      <c r="ENR20" s="87"/>
      <c r="ENS20" s="87"/>
      <c r="ENT20" s="87"/>
      <c r="ENU20" s="87"/>
      <c r="ENV20" s="87"/>
      <c r="ENW20" s="87"/>
      <c r="ENX20" s="87"/>
      <c r="ENY20" s="87"/>
      <c r="ENZ20" s="87"/>
      <c r="EOA20" s="87"/>
      <c r="EOB20" s="87"/>
      <c r="EOC20" s="87"/>
      <c r="EOD20" s="87"/>
      <c r="EOE20" s="87"/>
      <c r="EOF20" s="87"/>
      <c r="EOG20" s="87"/>
      <c r="EOH20" s="87"/>
      <c r="EOI20" s="87"/>
      <c r="EOJ20" s="87"/>
      <c r="EOK20" s="87"/>
      <c r="EOL20" s="87"/>
      <c r="EOM20" s="87"/>
      <c r="EON20" s="87"/>
      <c r="EOO20" s="87"/>
      <c r="EOP20" s="87"/>
      <c r="EOQ20" s="87"/>
      <c r="EOR20" s="87"/>
      <c r="EOS20" s="87"/>
      <c r="EOT20" s="87"/>
      <c r="EOU20" s="87"/>
      <c r="EOV20" s="87"/>
      <c r="EOW20" s="87"/>
      <c r="EOX20" s="87"/>
      <c r="EOY20" s="87"/>
      <c r="EOZ20" s="87"/>
      <c r="EPA20" s="87"/>
      <c r="EPB20" s="87"/>
      <c r="EPC20" s="87"/>
      <c r="EPD20" s="87"/>
      <c r="EPE20" s="87"/>
      <c r="EPF20" s="87"/>
      <c r="EPG20" s="87"/>
      <c r="EPH20" s="87"/>
      <c r="EPI20" s="87"/>
      <c r="EPJ20" s="87"/>
      <c r="EPK20" s="87"/>
      <c r="EPL20" s="87"/>
      <c r="EPM20" s="87"/>
      <c r="EPN20" s="87"/>
      <c r="EPO20" s="87"/>
      <c r="EPP20" s="87"/>
      <c r="EPQ20" s="87"/>
      <c r="EPR20" s="87"/>
      <c r="EPS20" s="87"/>
      <c r="EPT20" s="87"/>
      <c r="EPU20" s="87"/>
      <c r="EPV20" s="87"/>
      <c r="EPW20" s="87"/>
      <c r="EPX20" s="87"/>
      <c r="EPY20" s="87"/>
      <c r="EPZ20" s="87"/>
      <c r="EQA20" s="87"/>
      <c r="EQB20" s="87"/>
      <c r="EQC20" s="87"/>
      <c r="EQD20" s="87"/>
      <c r="EQE20" s="87"/>
      <c r="EQF20" s="87"/>
      <c r="EQG20" s="87"/>
      <c r="EQH20" s="87"/>
      <c r="EQI20" s="87"/>
      <c r="EQJ20" s="87"/>
      <c r="EQK20" s="87"/>
      <c r="EQL20" s="87"/>
      <c r="EQM20" s="87"/>
      <c r="EQN20" s="87"/>
      <c r="EQO20" s="87"/>
      <c r="EQP20" s="87"/>
      <c r="EQQ20" s="87"/>
      <c r="EQR20" s="87"/>
      <c r="EQS20" s="87"/>
      <c r="EQT20" s="87"/>
      <c r="EQU20" s="87"/>
      <c r="EQV20" s="87"/>
      <c r="EQW20" s="87"/>
      <c r="EQX20" s="87"/>
      <c r="EQY20" s="87"/>
      <c r="EQZ20" s="87"/>
      <c r="ERA20" s="87"/>
      <c r="ERB20" s="87"/>
      <c r="ERC20" s="87"/>
      <c r="ERD20" s="87"/>
      <c r="ERE20" s="87"/>
      <c r="ERF20" s="87"/>
      <c r="ERG20" s="87"/>
      <c r="ERH20" s="87"/>
      <c r="ERI20" s="87"/>
      <c r="ERJ20" s="87"/>
      <c r="ERK20" s="87"/>
      <c r="ERL20" s="87"/>
      <c r="ERM20" s="87"/>
      <c r="ERN20" s="87"/>
      <c r="ERO20" s="87"/>
      <c r="ERP20" s="87"/>
      <c r="ERQ20" s="87"/>
      <c r="ERR20" s="87"/>
      <c r="ERS20" s="87"/>
      <c r="ERT20" s="87"/>
      <c r="ERU20" s="87"/>
      <c r="ERV20" s="87"/>
      <c r="ERW20" s="87"/>
      <c r="ERX20" s="87"/>
      <c r="ERY20" s="87"/>
      <c r="ERZ20" s="87"/>
      <c r="ESA20" s="87"/>
      <c r="ESB20" s="87"/>
      <c r="ESC20" s="87"/>
      <c r="ESD20" s="87"/>
      <c r="ESE20" s="87"/>
      <c r="ESF20" s="87"/>
      <c r="ESG20" s="87"/>
      <c r="ESH20" s="87"/>
      <c r="ESI20" s="87"/>
      <c r="ESJ20" s="87"/>
      <c r="ESK20" s="87"/>
      <c r="ESL20" s="87"/>
      <c r="ESM20" s="87"/>
      <c r="ESN20" s="87"/>
      <c r="ESO20" s="87"/>
      <c r="ESP20" s="87"/>
      <c r="ESQ20" s="87"/>
      <c r="ESR20" s="87"/>
      <c r="ESS20" s="87"/>
      <c r="EST20" s="87"/>
      <c r="ESU20" s="87"/>
      <c r="ESV20" s="87"/>
      <c r="ESW20" s="87"/>
      <c r="ESX20" s="87"/>
      <c r="ESY20" s="87"/>
      <c r="ESZ20" s="87"/>
      <c r="ETA20" s="87"/>
      <c r="ETB20" s="87"/>
      <c r="ETC20" s="87"/>
      <c r="ETD20" s="87"/>
      <c r="ETE20" s="87"/>
      <c r="ETF20" s="87"/>
      <c r="ETG20" s="87"/>
      <c r="ETH20" s="87"/>
      <c r="ETI20" s="87"/>
      <c r="ETJ20" s="87"/>
      <c r="ETK20" s="87"/>
      <c r="ETL20" s="87"/>
      <c r="ETM20" s="87"/>
      <c r="ETN20" s="87"/>
      <c r="ETO20" s="87"/>
      <c r="ETP20" s="87"/>
      <c r="ETQ20" s="87"/>
      <c r="ETR20" s="87"/>
      <c r="ETS20" s="87"/>
      <c r="ETT20" s="87"/>
      <c r="ETU20" s="87"/>
      <c r="ETV20" s="87"/>
      <c r="ETW20" s="87"/>
      <c r="ETX20" s="87"/>
      <c r="ETY20" s="87"/>
      <c r="ETZ20" s="87"/>
      <c r="EUA20" s="87"/>
      <c r="EUB20" s="87"/>
      <c r="EUC20" s="87"/>
      <c r="EUD20" s="87"/>
      <c r="EUE20" s="87"/>
      <c r="EUF20" s="87"/>
      <c r="EUG20" s="87"/>
      <c r="EUH20" s="87"/>
      <c r="EUI20" s="87"/>
      <c r="EUJ20" s="87"/>
      <c r="EUK20" s="87"/>
      <c r="EUL20" s="87"/>
      <c r="EUM20" s="87"/>
      <c r="EUN20" s="87"/>
      <c r="EUO20" s="87"/>
      <c r="EUP20" s="87"/>
      <c r="EUQ20" s="87"/>
      <c r="EUR20" s="87"/>
      <c r="EUS20" s="87"/>
      <c r="EUT20" s="87"/>
      <c r="EUU20" s="87"/>
      <c r="EUV20" s="87"/>
      <c r="EUW20" s="87"/>
      <c r="EUX20" s="87"/>
      <c r="EUY20" s="87"/>
      <c r="EUZ20" s="87"/>
      <c r="EVA20" s="87"/>
      <c r="EVB20" s="87"/>
      <c r="EVC20" s="87"/>
      <c r="EVD20" s="87"/>
      <c r="EVE20" s="87"/>
      <c r="EVF20" s="87"/>
      <c r="EVG20" s="87"/>
      <c r="EVH20" s="87"/>
      <c r="EVI20" s="87"/>
      <c r="EVJ20" s="87"/>
      <c r="EVK20" s="87"/>
      <c r="EVL20" s="87"/>
      <c r="EVM20" s="87"/>
      <c r="EVN20" s="87"/>
      <c r="EVO20" s="87"/>
      <c r="EVP20" s="87"/>
      <c r="EVQ20" s="87"/>
      <c r="EVR20" s="87"/>
      <c r="EVS20" s="87"/>
      <c r="EVT20" s="87"/>
      <c r="EVU20" s="87"/>
      <c r="EVV20" s="87"/>
      <c r="EVW20" s="87"/>
      <c r="EVX20" s="87"/>
      <c r="EVY20" s="87"/>
      <c r="EVZ20" s="87"/>
      <c r="EWA20" s="87"/>
      <c r="EWB20" s="87"/>
      <c r="EWC20" s="87"/>
      <c r="EWD20" s="87"/>
      <c r="EWE20" s="87"/>
      <c r="EWF20" s="87"/>
      <c r="EWG20" s="87"/>
      <c r="EWH20" s="87"/>
      <c r="EWI20" s="87"/>
      <c r="EWJ20" s="87"/>
      <c r="EWK20" s="87"/>
      <c r="EWL20" s="87"/>
      <c r="EWM20" s="87"/>
      <c r="EWN20" s="87"/>
      <c r="EWO20" s="87"/>
      <c r="EWP20" s="87"/>
      <c r="EWQ20" s="87"/>
      <c r="EWR20" s="87"/>
      <c r="EWS20" s="87"/>
      <c r="EWT20" s="87"/>
      <c r="EWU20" s="87"/>
      <c r="EWV20" s="87"/>
      <c r="EWW20" s="87"/>
      <c r="EWX20" s="87"/>
      <c r="EWY20" s="87"/>
      <c r="EWZ20" s="87"/>
      <c r="EXA20" s="87"/>
      <c r="EXB20" s="87"/>
      <c r="EXC20" s="87"/>
      <c r="EXD20" s="87"/>
      <c r="EXE20" s="87"/>
      <c r="EXF20" s="87"/>
      <c r="EXG20" s="87"/>
      <c r="EXH20" s="87"/>
      <c r="EXI20" s="87"/>
      <c r="EXJ20" s="87"/>
      <c r="EXK20" s="87"/>
      <c r="EXL20" s="87"/>
      <c r="EXM20" s="87"/>
      <c r="EXN20" s="87"/>
      <c r="EXO20" s="87"/>
      <c r="EXP20" s="87"/>
      <c r="EXQ20" s="87"/>
      <c r="EXR20" s="87"/>
      <c r="EXS20" s="87"/>
      <c r="EXT20" s="87"/>
      <c r="EXU20" s="87"/>
      <c r="EXV20" s="87"/>
      <c r="EXW20" s="87"/>
      <c r="EXX20" s="87"/>
      <c r="EXY20" s="87"/>
      <c r="EXZ20" s="87"/>
      <c r="EYA20" s="87"/>
      <c r="EYB20" s="87"/>
      <c r="EYC20" s="87"/>
      <c r="EYD20" s="87"/>
      <c r="EYE20" s="87"/>
      <c r="EYF20" s="87"/>
      <c r="EYG20" s="87"/>
      <c r="EYH20" s="87"/>
      <c r="EYI20" s="87"/>
      <c r="EYJ20" s="87"/>
      <c r="EYK20" s="87"/>
      <c r="EYL20" s="87"/>
      <c r="EYM20" s="87"/>
      <c r="EYN20" s="87"/>
      <c r="EYO20" s="87"/>
      <c r="EYP20" s="87"/>
      <c r="EYQ20" s="87"/>
      <c r="EYR20" s="87"/>
      <c r="EYS20" s="87"/>
      <c r="EYT20" s="87"/>
      <c r="EYU20" s="87"/>
      <c r="EYV20" s="87"/>
      <c r="EYW20" s="87"/>
      <c r="EYX20" s="87"/>
      <c r="EYY20" s="87"/>
      <c r="EYZ20" s="87"/>
      <c r="EZA20" s="87"/>
      <c r="EZB20" s="87"/>
      <c r="EZC20" s="87"/>
      <c r="EZD20" s="87"/>
      <c r="EZE20" s="87"/>
      <c r="EZF20" s="87"/>
      <c r="EZG20" s="87"/>
      <c r="EZH20" s="87"/>
      <c r="EZI20" s="87"/>
      <c r="EZJ20" s="87"/>
      <c r="EZK20" s="87"/>
      <c r="EZL20" s="87"/>
      <c r="EZM20" s="87"/>
      <c r="EZN20" s="87"/>
      <c r="EZO20" s="87"/>
      <c r="EZP20" s="87"/>
      <c r="EZQ20" s="87"/>
      <c r="EZR20" s="87"/>
      <c r="EZS20" s="87"/>
      <c r="EZT20" s="87"/>
      <c r="EZU20" s="87"/>
      <c r="EZV20" s="87"/>
      <c r="EZW20" s="87"/>
      <c r="EZX20" s="87"/>
      <c r="EZY20" s="87"/>
      <c r="EZZ20" s="87"/>
      <c r="FAA20" s="87"/>
      <c r="FAB20" s="87"/>
      <c r="FAC20" s="87"/>
      <c r="FAD20" s="87"/>
      <c r="FAE20" s="87"/>
      <c r="FAF20" s="87"/>
      <c r="FAG20" s="87"/>
      <c r="FAH20" s="87"/>
      <c r="FAI20" s="87"/>
      <c r="FAJ20" s="87"/>
      <c r="FAK20" s="87"/>
      <c r="FAL20" s="87"/>
      <c r="FAM20" s="87"/>
      <c r="FAN20" s="87"/>
      <c r="FAO20" s="87"/>
      <c r="FAP20" s="87"/>
      <c r="FAQ20" s="87"/>
      <c r="FAR20" s="87"/>
      <c r="FAS20" s="87"/>
      <c r="FAT20" s="87"/>
      <c r="FAU20" s="87"/>
      <c r="FAV20" s="87"/>
      <c r="FAW20" s="87"/>
      <c r="FAX20" s="87"/>
      <c r="FAY20" s="87"/>
      <c r="FAZ20" s="87"/>
      <c r="FBA20" s="87"/>
      <c r="FBB20" s="87"/>
      <c r="FBC20" s="87"/>
      <c r="FBD20" s="87"/>
      <c r="FBE20" s="87"/>
      <c r="FBF20" s="87"/>
      <c r="FBG20" s="87"/>
      <c r="FBH20" s="87"/>
      <c r="FBI20" s="87"/>
      <c r="FBJ20" s="87"/>
      <c r="FBK20" s="87"/>
      <c r="FBL20" s="87"/>
      <c r="FBM20" s="87"/>
      <c r="FBN20" s="87"/>
      <c r="FBO20" s="87"/>
      <c r="FBP20" s="87"/>
      <c r="FBQ20" s="87"/>
      <c r="FBR20" s="87"/>
      <c r="FBS20" s="87"/>
      <c r="FBT20" s="87"/>
      <c r="FBU20" s="87"/>
      <c r="FBV20" s="87"/>
      <c r="FBW20" s="87"/>
      <c r="FBX20" s="87"/>
      <c r="FBY20" s="87"/>
      <c r="FBZ20" s="87"/>
      <c r="FCA20" s="87"/>
      <c r="FCB20" s="87"/>
      <c r="FCC20" s="87"/>
      <c r="FCD20" s="87"/>
      <c r="FCE20" s="87"/>
      <c r="FCF20" s="87"/>
      <c r="FCG20" s="87"/>
      <c r="FCH20" s="87"/>
      <c r="FCI20" s="87"/>
      <c r="FCJ20" s="87"/>
      <c r="FCK20" s="87"/>
      <c r="FCL20" s="87"/>
      <c r="FCM20" s="87"/>
      <c r="FCN20" s="87"/>
      <c r="FCO20" s="87"/>
      <c r="FCP20" s="87"/>
      <c r="FCQ20" s="87"/>
      <c r="FCR20" s="87"/>
      <c r="FCS20" s="87"/>
      <c r="FCT20" s="87"/>
      <c r="FCU20" s="87"/>
      <c r="FCV20" s="87"/>
      <c r="FCW20" s="87"/>
      <c r="FCX20" s="87"/>
      <c r="FCY20" s="87"/>
      <c r="FCZ20" s="87"/>
      <c r="FDA20" s="87"/>
      <c r="FDB20" s="87"/>
      <c r="FDC20" s="87"/>
      <c r="FDD20" s="87"/>
      <c r="FDE20" s="87"/>
      <c r="FDF20" s="87"/>
      <c r="FDG20" s="87"/>
      <c r="FDH20" s="87"/>
      <c r="FDI20" s="87"/>
      <c r="FDJ20" s="87"/>
      <c r="FDK20" s="87"/>
      <c r="FDL20" s="87"/>
      <c r="FDM20" s="87"/>
      <c r="FDN20" s="87"/>
      <c r="FDO20" s="87"/>
      <c r="FDP20" s="87"/>
      <c r="FDQ20" s="87"/>
      <c r="FDR20" s="87"/>
      <c r="FDS20" s="87"/>
      <c r="FDT20" s="87"/>
      <c r="FDU20" s="87"/>
      <c r="FDV20" s="87"/>
      <c r="FDW20" s="87"/>
      <c r="FDX20" s="87"/>
      <c r="FDY20" s="87"/>
      <c r="FDZ20" s="87"/>
      <c r="FEA20" s="87"/>
      <c r="FEB20" s="87"/>
      <c r="FEC20" s="87"/>
      <c r="FED20" s="87"/>
      <c r="FEE20" s="87"/>
      <c r="FEF20" s="87"/>
      <c r="FEG20" s="87"/>
      <c r="FEH20" s="87"/>
      <c r="FEI20" s="87"/>
      <c r="FEJ20" s="87"/>
      <c r="FEK20" s="87"/>
      <c r="FEL20" s="87"/>
      <c r="FEM20" s="87"/>
      <c r="FEN20" s="87"/>
      <c r="FEO20" s="87"/>
      <c r="FEP20" s="87"/>
      <c r="FEQ20" s="87"/>
      <c r="FER20" s="87"/>
      <c r="FES20" s="87"/>
      <c r="FET20" s="87"/>
      <c r="FEU20" s="87"/>
      <c r="FEV20" s="87"/>
      <c r="FEW20" s="87"/>
      <c r="FEX20" s="87"/>
      <c r="FEY20" s="87"/>
      <c r="FEZ20" s="87"/>
      <c r="FFA20" s="87"/>
      <c r="FFB20" s="87"/>
      <c r="FFC20" s="87"/>
      <c r="FFD20" s="87"/>
      <c r="FFE20" s="87"/>
      <c r="FFF20" s="87"/>
      <c r="FFG20" s="87"/>
      <c r="FFH20" s="87"/>
      <c r="FFI20" s="87"/>
      <c r="FFJ20" s="87"/>
      <c r="FFK20" s="87"/>
      <c r="FFL20" s="87"/>
      <c r="FFM20" s="87"/>
      <c r="FFN20" s="87"/>
      <c r="FFO20" s="87"/>
      <c r="FFP20" s="87"/>
      <c r="FFQ20" s="87"/>
      <c r="FFR20" s="87"/>
      <c r="FFS20" s="87"/>
      <c r="FFT20" s="87"/>
      <c r="FFU20" s="87"/>
      <c r="FFV20" s="87"/>
      <c r="FFW20" s="87"/>
      <c r="FFX20" s="87"/>
      <c r="FFY20" s="87"/>
      <c r="FFZ20" s="87"/>
      <c r="FGA20" s="87"/>
      <c r="FGB20" s="87"/>
      <c r="FGC20" s="87"/>
      <c r="FGD20" s="87"/>
      <c r="FGE20" s="87"/>
      <c r="FGF20" s="87"/>
      <c r="FGG20" s="87"/>
      <c r="FGH20" s="87"/>
      <c r="FGI20" s="87"/>
      <c r="FGJ20" s="87"/>
      <c r="FGK20" s="87"/>
      <c r="FGL20" s="87"/>
      <c r="FGM20" s="87"/>
      <c r="FGN20" s="87"/>
      <c r="FGO20" s="87"/>
      <c r="FGP20" s="87"/>
      <c r="FGQ20" s="87"/>
      <c r="FGR20" s="87"/>
      <c r="FGS20" s="87"/>
      <c r="FGT20" s="87"/>
      <c r="FGU20" s="87"/>
      <c r="FGV20" s="87"/>
      <c r="FGW20" s="87"/>
      <c r="FGX20" s="87"/>
      <c r="FGY20" s="87"/>
      <c r="FGZ20" s="87"/>
      <c r="FHA20" s="87"/>
      <c r="FHB20" s="87"/>
      <c r="FHC20" s="87"/>
      <c r="FHD20" s="87"/>
      <c r="FHE20" s="87"/>
      <c r="FHF20" s="87"/>
      <c r="FHG20" s="87"/>
      <c r="FHH20" s="87"/>
      <c r="FHI20" s="87"/>
      <c r="FHJ20" s="87"/>
      <c r="FHK20" s="87"/>
      <c r="FHL20" s="87"/>
      <c r="FHM20" s="87"/>
      <c r="FHN20" s="87"/>
      <c r="FHO20" s="87"/>
      <c r="FHP20" s="87"/>
      <c r="FHQ20" s="87"/>
      <c r="FHR20" s="87"/>
      <c r="FHS20" s="87"/>
      <c r="FHT20" s="87"/>
      <c r="FHU20" s="87"/>
      <c r="FHV20" s="87"/>
      <c r="FHW20" s="87"/>
      <c r="FHX20" s="87"/>
      <c r="FHY20" s="87"/>
      <c r="FHZ20" s="87"/>
      <c r="FIA20" s="87"/>
      <c r="FIB20" s="87"/>
      <c r="FIC20" s="87"/>
      <c r="FID20" s="87"/>
      <c r="FIE20" s="87"/>
      <c r="FIF20" s="87"/>
      <c r="FIG20" s="87"/>
      <c r="FIH20" s="87"/>
      <c r="FII20" s="87"/>
      <c r="FIJ20" s="87"/>
      <c r="FIK20" s="87"/>
      <c r="FIL20" s="87"/>
      <c r="FIM20" s="87"/>
      <c r="FIN20" s="87"/>
      <c r="FIO20" s="87"/>
      <c r="FIP20" s="87"/>
      <c r="FIQ20" s="87"/>
      <c r="FIR20" s="87"/>
      <c r="FIS20" s="87"/>
      <c r="FIT20" s="87"/>
      <c r="FIU20" s="87"/>
      <c r="FIV20" s="87"/>
      <c r="FIW20" s="87"/>
      <c r="FIX20" s="87"/>
      <c r="FIY20" s="87"/>
      <c r="FIZ20" s="87"/>
      <c r="FJA20" s="87"/>
      <c r="FJB20" s="87"/>
      <c r="FJC20" s="87"/>
      <c r="FJD20" s="87"/>
      <c r="FJE20" s="87"/>
      <c r="FJF20" s="87"/>
      <c r="FJG20" s="87"/>
      <c r="FJH20" s="87"/>
      <c r="FJI20" s="87"/>
      <c r="FJJ20" s="87"/>
      <c r="FJK20" s="87"/>
      <c r="FJL20" s="87"/>
      <c r="FJM20" s="87"/>
      <c r="FJN20" s="87"/>
      <c r="FJO20" s="87"/>
      <c r="FJP20" s="87"/>
      <c r="FJQ20" s="87"/>
      <c r="FJR20" s="87"/>
      <c r="FJS20" s="87"/>
      <c r="FJT20" s="87"/>
      <c r="FJU20" s="87"/>
      <c r="FJV20" s="87"/>
      <c r="FJW20" s="87"/>
      <c r="FJX20" s="87"/>
      <c r="FJY20" s="87"/>
      <c r="FJZ20" s="87"/>
      <c r="FKA20" s="87"/>
      <c r="FKB20" s="87"/>
      <c r="FKC20" s="87"/>
      <c r="FKD20" s="87"/>
      <c r="FKE20" s="87"/>
      <c r="FKF20" s="87"/>
      <c r="FKG20" s="87"/>
      <c r="FKH20" s="87"/>
      <c r="FKI20" s="87"/>
      <c r="FKJ20" s="87"/>
      <c r="FKK20" s="87"/>
      <c r="FKL20" s="87"/>
      <c r="FKM20" s="87"/>
      <c r="FKN20" s="87"/>
      <c r="FKO20" s="87"/>
      <c r="FKP20" s="87"/>
      <c r="FKQ20" s="87"/>
      <c r="FKR20" s="87"/>
      <c r="FKS20" s="87"/>
      <c r="FKT20" s="87"/>
      <c r="FKU20" s="87"/>
      <c r="FKV20" s="87"/>
      <c r="FKW20" s="87"/>
      <c r="FKX20" s="87"/>
      <c r="FKY20" s="87"/>
      <c r="FKZ20" s="87"/>
      <c r="FLA20" s="87"/>
      <c r="FLB20" s="87"/>
      <c r="FLC20" s="87"/>
      <c r="FLD20" s="87"/>
      <c r="FLE20" s="87"/>
      <c r="FLF20" s="87"/>
      <c r="FLG20" s="87"/>
      <c r="FLH20" s="87"/>
      <c r="FLI20" s="87"/>
      <c r="FLJ20" s="87"/>
      <c r="FLK20" s="87"/>
      <c r="FLL20" s="87"/>
      <c r="FLM20" s="87"/>
      <c r="FLN20" s="87"/>
      <c r="FLO20" s="87"/>
      <c r="FLP20" s="87"/>
      <c r="FLQ20" s="87"/>
      <c r="FLR20" s="87"/>
      <c r="FLS20" s="87"/>
      <c r="FLT20" s="87"/>
      <c r="FLU20" s="87"/>
      <c r="FLV20" s="87"/>
      <c r="FLW20" s="87"/>
      <c r="FLX20" s="87"/>
      <c r="FLY20" s="87"/>
      <c r="FLZ20" s="87"/>
      <c r="FMA20" s="87"/>
      <c r="FMB20" s="87"/>
      <c r="FMC20" s="87"/>
      <c r="FMD20" s="87"/>
      <c r="FME20" s="87"/>
      <c r="FMF20" s="87"/>
      <c r="FMG20" s="87"/>
      <c r="FMH20" s="87"/>
      <c r="FMI20" s="87"/>
      <c r="FMJ20" s="87"/>
      <c r="FMK20" s="87"/>
      <c r="FML20" s="87"/>
      <c r="FMM20" s="87"/>
      <c r="FMN20" s="87"/>
      <c r="FMO20" s="87"/>
      <c r="FMP20" s="87"/>
      <c r="FMQ20" s="87"/>
      <c r="FMR20" s="87"/>
      <c r="FMS20" s="87"/>
      <c r="FMT20" s="87"/>
      <c r="FMU20" s="87"/>
      <c r="FMV20" s="87"/>
      <c r="FMW20" s="87"/>
      <c r="FMX20" s="87"/>
      <c r="FMY20" s="87"/>
      <c r="FMZ20" s="87"/>
      <c r="FNA20" s="87"/>
      <c r="FNB20" s="87"/>
      <c r="FNC20" s="87"/>
      <c r="FND20" s="87"/>
      <c r="FNE20" s="87"/>
      <c r="FNF20" s="87"/>
      <c r="FNG20" s="87"/>
      <c r="FNH20" s="87"/>
      <c r="FNI20" s="87"/>
      <c r="FNJ20" s="87"/>
      <c r="FNK20" s="87"/>
      <c r="FNL20" s="87"/>
      <c r="FNM20" s="87"/>
      <c r="FNN20" s="87"/>
      <c r="FNO20" s="87"/>
      <c r="FNP20" s="87"/>
      <c r="FNQ20" s="87"/>
      <c r="FNR20" s="87"/>
      <c r="FNS20" s="87"/>
      <c r="FNT20" s="87"/>
      <c r="FNU20" s="87"/>
      <c r="FNV20" s="87"/>
      <c r="FNW20" s="87"/>
      <c r="FNX20" s="87"/>
      <c r="FNY20" s="87"/>
      <c r="FNZ20" s="87"/>
      <c r="FOA20" s="87"/>
      <c r="FOB20" s="87"/>
      <c r="FOC20" s="87"/>
      <c r="FOD20" s="87"/>
      <c r="FOE20" s="87"/>
      <c r="FOF20" s="87"/>
      <c r="FOG20" s="87"/>
      <c r="FOH20" s="87"/>
      <c r="FOI20" s="87"/>
      <c r="FOJ20" s="87"/>
      <c r="FOK20" s="87"/>
      <c r="FOL20" s="87"/>
      <c r="FOM20" s="87"/>
      <c r="FON20" s="87"/>
      <c r="FOO20" s="87"/>
      <c r="FOP20" s="87"/>
      <c r="FOQ20" s="87"/>
      <c r="FOR20" s="87"/>
      <c r="FOS20" s="87"/>
      <c r="FOT20" s="87"/>
      <c r="FOU20" s="87"/>
      <c r="FOV20" s="87"/>
      <c r="FOW20" s="87"/>
      <c r="FOX20" s="87"/>
      <c r="FOY20" s="87"/>
      <c r="FOZ20" s="87"/>
      <c r="FPA20" s="87"/>
      <c r="FPB20" s="87"/>
      <c r="FPC20" s="87"/>
      <c r="FPD20" s="87"/>
      <c r="FPE20" s="87"/>
      <c r="FPF20" s="87"/>
      <c r="FPG20" s="87"/>
      <c r="FPH20" s="87"/>
      <c r="FPI20" s="87"/>
      <c r="FPJ20" s="87"/>
      <c r="FPK20" s="87"/>
      <c r="FPL20" s="87"/>
      <c r="FPM20" s="87"/>
      <c r="FPN20" s="87"/>
      <c r="FPO20" s="87"/>
      <c r="FPP20" s="87"/>
      <c r="FPQ20" s="87"/>
      <c r="FPR20" s="87"/>
      <c r="FPS20" s="87"/>
      <c r="FPT20" s="87"/>
      <c r="FPU20" s="87"/>
      <c r="FPV20" s="87"/>
      <c r="FPW20" s="87"/>
      <c r="FPX20" s="87"/>
      <c r="FPY20" s="87"/>
      <c r="FPZ20" s="87"/>
      <c r="FQA20" s="87"/>
      <c r="FQB20" s="87"/>
      <c r="FQC20" s="87"/>
      <c r="FQD20" s="87"/>
      <c r="FQE20" s="87"/>
      <c r="FQF20" s="87"/>
      <c r="FQG20" s="87"/>
      <c r="FQH20" s="87"/>
      <c r="FQI20" s="87"/>
      <c r="FQJ20" s="87"/>
      <c r="FQK20" s="87"/>
      <c r="FQL20" s="87"/>
      <c r="FQM20" s="87"/>
      <c r="FQN20" s="87"/>
      <c r="FQO20" s="87"/>
      <c r="FQP20" s="87"/>
      <c r="FQQ20" s="87"/>
      <c r="FQR20" s="87"/>
      <c r="FQS20" s="87"/>
      <c r="FQT20" s="87"/>
      <c r="FQU20" s="87"/>
      <c r="FQV20" s="87"/>
      <c r="FQW20" s="87"/>
      <c r="FQX20" s="87"/>
      <c r="FQY20" s="87"/>
      <c r="FQZ20" s="87"/>
      <c r="FRA20" s="87"/>
      <c r="FRB20" s="87"/>
      <c r="FRC20" s="87"/>
      <c r="FRD20" s="87"/>
      <c r="FRE20" s="87"/>
      <c r="FRF20" s="87"/>
      <c r="FRG20" s="87"/>
      <c r="FRH20" s="87"/>
      <c r="FRI20" s="87"/>
      <c r="FRJ20" s="87"/>
      <c r="FRK20" s="87"/>
      <c r="FRL20" s="87"/>
      <c r="FRM20" s="87"/>
      <c r="FRN20" s="87"/>
      <c r="FRO20" s="87"/>
      <c r="FRP20" s="87"/>
      <c r="FRQ20" s="87"/>
      <c r="FRR20" s="87"/>
      <c r="FRS20" s="87"/>
      <c r="FRT20" s="87"/>
      <c r="FRU20" s="87"/>
      <c r="FRV20" s="87"/>
      <c r="FRW20" s="87"/>
      <c r="FRX20" s="87"/>
      <c r="FRY20" s="87"/>
      <c r="FRZ20" s="87"/>
      <c r="FSA20" s="87"/>
      <c r="FSB20" s="87"/>
      <c r="FSC20" s="87"/>
      <c r="FSD20" s="87"/>
      <c r="FSE20" s="87"/>
      <c r="FSF20" s="87"/>
      <c r="FSG20" s="87"/>
      <c r="FSH20" s="87"/>
      <c r="FSI20" s="87"/>
      <c r="FSJ20" s="87"/>
      <c r="FSK20" s="87"/>
      <c r="FSL20" s="87"/>
      <c r="FSM20" s="87"/>
      <c r="FSN20" s="87"/>
      <c r="FSO20" s="87"/>
      <c r="FSP20" s="87"/>
      <c r="FSQ20" s="87"/>
      <c r="FSR20" s="87"/>
      <c r="FSS20" s="87"/>
      <c r="FST20" s="87"/>
      <c r="FSU20" s="87"/>
      <c r="FSV20" s="87"/>
      <c r="FSW20" s="87"/>
      <c r="FSX20" s="87"/>
      <c r="FSY20" s="87"/>
      <c r="FSZ20" s="87"/>
      <c r="FTA20" s="87"/>
      <c r="FTB20" s="87"/>
      <c r="FTC20" s="87"/>
      <c r="FTD20" s="87"/>
      <c r="FTE20" s="87"/>
      <c r="FTF20" s="87"/>
      <c r="FTG20" s="87"/>
      <c r="FTH20" s="87"/>
      <c r="FTI20" s="87"/>
      <c r="FTJ20" s="87"/>
      <c r="FTK20" s="87"/>
      <c r="FTL20" s="87"/>
      <c r="FTM20" s="87"/>
      <c r="FTN20" s="87"/>
      <c r="FTO20" s="87"/>
      <c r="FTP20" s="87"/>
      <c r="FTQ20" s="87"/>
      <c r="FTR20" s="87"/>
      <c r="FTS20" s="87"/>
      <c r="FTT20" s="87"/>
      <c r="FTU20" s="87"/>
      <c r="FTV20" s="87"/>
      <c r="FTW20" s="87"/>
      <c r="FTX20" s="87"/>
      <c r="FTY20" s="87"/>
      <c r="FTZ20" s="87"/>
      <c r="FUA20" s="87"/>
      <c r="FUB20" s="87"/>
      <c r="FUC20" s="87"/>
      <c r="FUD20" s="87"/>
      <c r="FUE20" s="87"/>
      <c r="FUF20" s="87"/>
      <c r="FUG20" s="87"/>
      <c r="FUH20" s="87"/>
      <c r="FUI20" s="87"/>
      <c r="FUJ20" s="87"/>
      <c r="FUK20" s="87"/>
      <c r="FUL20" s="87"/>
      <c r="FUM20" s="87"/>
      <c r="FUN20" s="87"/>
      <c r="FUO20" s="87"/>
      <c r="FUP20" s="87"/>
      <c r="FUQ20" s="87"/>
      <c r="FUR20" s="87"/>
      <c r="FUS20" s="87"/>
      <c r="FUT20" s="87"/>
      <c r="FUU20" s="87"/>
      <c r="FUV20" s="87"/>
      <c r="FUW20" s="87"/>
      <c r="FUX20" s="87"/>
      <c r="FUY20" s="87"/>
      <c r="FUZ20" s="87"/>
      <c r="FVA20" s="87"/>
      <c r="FVB20" s="87"/>
      <c r="FVC20" s="87"/>
      <c r="FVD20" s="87"/>
      <c r="FVE20" s="87"/>
      <c r="FVF20" s="87"/>
      <c r="FVG20" s="87"/>
      <c r="FVH20" s="87"/>
      <c r="FVI20" s="87"/>
      <c r="FVJ20" s="87"/>
      <c r="FVK20" s="87"/>
      <c r="FVL20" s="87"/>
      <c r="FVM20" s="87"/>
      <c r="FVN20" s="87"/>
      <c r="FVO20" s="87"/>
      <c r="FVP20" s="87"/>
      <c r="FVQ20" s="87"/>
      <c r="FVR20" s="87"/>
      <c r="FVS20" s="87"/>
      <c r="FVT20" s="87"/>
      <c r="FVU20" s="87"/>
      <c r="FVV20" s="87"/>
      <c r="FVW20" s="87"/>
      <c r="FVX20" s="87"/>
      <c r="FVY20" s="87"/>
      <c r="FVZ20" s="87"/>
      <c r="FWA20" s="87"/>
      <c r="FWB20" s="87"/>
      <c r="FWC20" s="87"/>
      <c r="FWD20" s="87"/>
      <c r="FWE20" s="87"/>
      <c r="FWF20" s="87"/>
      <c r="FWG20" s="87"/>
      <c r="FWH20" s="87"/>
      <c r="FWI20" s="87"/>
      <c r="FWJ20" s="87"/>
      <c r="FWK20" s="87"/>
      <c r="FWL20" s="87"/>
      <c r="FWM20" s="87"/>
      <c r="FWN20" s="87"/>
      <c r="FWO20" s="87"/>
      <c r="FWP20" s="87"/>
      <c r="FWQ20" s="87"/>
      <c r="FWR20" s="87"/>
      <c r="FWS20" s="87"/>
      <c r="FWT20" s="87"/>
      <c r="FWU20" s="87"/>
      <c r="FWV20" s="87"/>
      <c r="FWW20" s="87"/>
      <c r="FWX20" s="87"/>
      <c r="FWY20" s="87"/>
      <c r="FWZ20" s="87"/>
      <c r="FXA20" s="87"/>
      <c r="FXB20" s="87"/>
      <c r="FXC20" s="87"/>
      <c r="FXD20" s="87"/>
      <c r="FXE20" s="87"/>
      <c r="FXF20" s="87"/>
      <c r="FXG20" s="87"/>
      <c r="FXH20" s="87"/>
      <c r="FXI20" s="87"/>
      <c r="FXJ20" s="87"/>
      <c r="FXK20" s="87"/>
      <c r="FXL20" s="87"/>
      <c r="FXM20" s="87"/>
      <c r="FXN20" s="87"/>
      <c r="FXO20" s="87"/>
      <c r="FXP20" s="87"/>
      <c r="FXQ20" s="87"/>
      <c r="FXR20" s="87"/>
      <c r="FXS20" s="87"/>
      <c r="FXT20" s="87"/>
      <c r="FXU20" s="87"/>
      <c r="FXV20" s="87"/>
      <c r="FXW20" s="87"/>
      <c r="FXX20" s="87"/>
      <c r="FXY20" s="87"/>
      <c r="FXZ20" s="87"/>
      <c r="FYA20" s="87"/>
      <c r="FYB20" s="87"/>
      <c r="FYC20" s="87"/>
      <c r="FYD20" s="87"/>
      <c r="FYE20" s="87"/>
      <c r="FYF20" s="87"/>
      <c r="FYG20" s="87"/>
      <c r="FYH20" s="87"/>
      <c r="FYI20" s="87"/>
      <c r="FYJ20" s="87"/>
      <c r="FYK20" s="87"/>
      <c r="FYL20" s="87"/>
      <c r="FYM20" s="87"/>
      <c r="FYN20" s="87"/>
      <c r="FYO20" s="87"/>
      <c r="FYP20" s="87"/>
      <c r="FYQ20" s="87"/>
      <c r="FYR20" s="87"/>
      <c r="FYS20" s="87"/>
      <c r="FYT20" s="87"/>
      <c r="FYU20" s="87"/>
      <c r="FYV20" s="87"/>
      <c r="FYW20" s="87"/>
      <c r="FYX20" s="87"/>
      <c r="FYY20" s="87"/>
      <c r="FYZ20" s="87"/>
      <c r="FZA20" s="87"/>
      <c r="FZB20" s="87"/>
      <c r="FZC20" s="87"/>
      <c r="FZD20" s="87"/>
      <c r="FZE20" s="87"/>
      <c r="FZF20" s="87"/>
      <c r="FZG20" s="87"/>
      <c r="FZH20" s="87"/>
      <c r="FZI20" s="87"/>
      <c r="FZJ20" s="87"/>
      <c r="FZK20" s="87"/>
      <c r="FZL20" s="87"/>
      <c r="FZM20" s="87"/>
      <c r="FZN20" s="87"/>
      <c r="FZO20" s="87"/>
      <c r="FZP20" s="87"/>
      <c r="FZQ20" s="87"/>
      <c r="FZR20" s="87"/>
      <c r="FZS20" s="87"/>
      <c r="FZT20" s="87"/>
      <c r="FZU20" s="87"/>
      <c r="FZV20" s="87"/>
      <c r="FZW20" s="87"/>
      <c r="FZX20" s="87"/>
      <c r="FZY20" s="87"/>
      <c r="FZZ20" s="87"/>
      <c r="GAA20" s="87"/>
      <c r="GAB20" s="87"/>
      <c r="GAC20" s="87"/>
      <c r="GAD20" s="87"/>
      <c r="GAE20" s="87"/>
      <c r="GAF20" s="87"/>
      <c r="GAG20" s="87"/>
      <c r="GAH20" s="87"/>
      <c r="GAI20" s="87"/>
      <c r="GAJ20" s="87"/>
      <c r="GAK20" s="87"/>
      <c r="GAL20" s="87"/>
      <c r="GAM20" s="87"/>
      <c r="GAN20" s="87"/>
      <c r="GAO20" s="87"/>
      <c r="GAP20" s="87"/>
      <c r="GAQ20" s="87"/>
      <c r="GAR20" s="87"/>
      <c r="GAS20" s="87"/>
      <c r="GAT20" s="87"/>
      <c r="GAU20" s="87"/>
      <c r="GAV20" s="87"/>
      <c r="GAW20" s="87"/>
      <c r="GAX20" s="87"/>
      <c r="GAY20" s="87"/>
      <c r="GAZ20" s="87"/>
      <c r="GBA20" s="87"/>
      <c r="GBB20" s="87"/>
      <c r="GBC20" s="87"/>
      <c r="GBD20" s="87"/>
      <c r="GBE20" s="87"/>
      <c r="GBF20" s="87"/>
      <c r="GBG20" s="87"/>
      <c r="GBH20" s="87"/>
      <c r="GBI20" s="87"/>
      <c r="GBJ20" s="87"/>
      <c r="GBK20" s="87"/>
      <c r="GBL20" s="87"/>
      <c r="GBM20" s="87"/>
      <c r="GBN20" s="87"/>
      <c r="GBO20" s="87"/>
      <c r="GBP20" s="87"/>
      <c r="GBQ20" s="87"/>
      <c r="GBR20" s="87"/>
      <c r="GBS20" s="87"/>
      <c r="GBT20" s="87"/>
      <c r="GBU20" s="87"/>
      <c r="GBV20" s="87"/>
      <c r="GBW20" s="87"/>
      <c r="GBX20" s="87"/>
      <c r="GBY20" s="87"/>
      <c r="GBZ20" s="87"/>
      <c r="GCA20" s="87"/>
      <c r="GCB20" s="87"/>
      <c r="GCC20" s="87"/>
      <c r="GCD20" s="87"/>
      <c r="GCE20" s="87"/>
      <c r="GCF20" s="87"/>
      <c r="GCG20" s="87"/>
      <c r="GCH20" s="87"/>
      <c r="GCI20" s="87"/>
      <c r="GCJ20" s="87"/>
      <c r="GCK20" s="87"/>
      <c r="GCL20" s="87"/>
      <c r="GCM20" s="87"/>
      <c r="GCN20" s="87"/>
      <c r="GCO20" s="87"/>
      <c r="GCP20" s="87"/>
      <c r="GCQ20" s="87"/>
      <c r="GCR20" s="87"/>
      <c r="GCS20" s="87"/>
      <c r="GCT20" s="87"/>
      <c r="GCU20" s="87"/>
      <c r="GCV20" s="87"/>
      <c r="GCW20" s="87"/>
      <c r="GCX20" s="87"/>
      <c r="GCY20" s="87"/>
      <c r="GCZ20" s="87"/>
      <c r="GDA20" s="87"/>
      <c r="GDB20" s="87"/>
      <c r="GDC20" s="87"/>
      <c r="GDD20" s="87"/>
      <c r="GDE20" s="87"/>
      <c r="GDF20" s="87"/>
      <c r="GDG20" s="87"/>
      <c r="GDH20" s="87"/>
      <c r="GDI20" s="87"/>
      <c r="GDJ20" s="87"/>
      <c r="GDK20" s="87"/>
      <c r="GDL20" s="87"/>
      <c r="GDM20" s="87"/>
      <c r="GDN20" s="87"/>
      <c r="GDO20" s="87"/>
      <c r="GDP20" s="87"/>
      <c r="GDQ20" s="87"/>
      <c r="GDR20" s="87"/>
      <c r="GDS20" s="87"/>
      <c r="GDT20" s="87"/>
      <c r="GDU20" s="87"/>
      <c r="GDV20" s="87"/>
      <c r="GDW20" s="87"/>
      <c r="GDX20" s="87"/>
      <c r="GDY20" s="87"/>
      <c r="GDZ20" s="87"/>
      <c r="GEA20" s="87"/>
      <c r="GEB20" s="87"/>
      <c r="GEC20" s="87"/>
      <c r="GED20" s="87"/>
      <c r="GEE20" s="87"/>
      <c r="GEF20" s="87"/>
      <c r="GEG20" s="87"/>
      <c r="GEH20" s="87"/>
      <c r="GEI20" s="87"/>
      <c r="GEJ20" s="87"/>
      <c r="GEK20" s="87"/>
      <c r="GEL20" s="87"/>
      <c r="GEM20" s="87"/>
      <c r="GEN20" s="87"/>
      <c r="GEO20" s="87"/>
      <c r="GEP20" s="87"/>
      <c r="GEQ20" s="87"/>
      <c r="GER20" s="87"/>
      <c r="GES20" s="87"/>
      <c r="GET20" s="87"/>
      <c r="GEU20" s="87"/>
      <c r="GEV20" s="87"/>
      <c r="GEW20" s="87"/>
      <c r="GEX20" s="87"/>
      <c r="GEY20" s="87"/>
      <c r="GEZ20" s="87"/>
      <c r="GFA20" s="87"/>
      <c r="GFB20" s="87"/>
      <c r="GFC20" s="87"/>
      <c r="GFD20" s="87"/>
      <c r="GFE20" s="87"/>
      <c r="GFF20" s="87"/>
      <c r="GFG20" s="87"/>
      <c r="GFH20" s="87"/>
      <c r="GFI20" s="87"/>
      <c r="GFJ20" s="87"/>
      <c r="GFK20" s="87"/>
      <c r="GFL20" s="87"/>
      <c r="GFM20" s="87"/>
      <c r="GFN20" s="87"/>
      <c r="GFO20" s="87"/>
      <c r="GFP20" s="87"/>
      <c r="GFQ20" s="87"/>
      <c r="GFR20" s="87"/>
      <c r="GFS20" s="87"/>
      <c r="GFT20" s="87"/>
      <c r="GFU20" s="87"/>
      <c r="GFV20" s="87"/>
      <c r="GFW20" s="87"/>
      <c r="GFX20" s="87"/>
      <c r="GFY20" s="87"/>
      <c r="GFZ20" s="87"/>
      <c r="GGA20" s="87"/>
      <c r="GGB20" s="87"/>
      <c r="GGC20" s="87"/>
      <c r="GGD20" s="87"/>
      <c r="GGE20" s="87"/>
      <c r="GGF20" s="87"/>
      <c r="GGG20" s="87"/>
      <c r="GGH20" s="87"/>
      <c r="GGI20" s="87"/>
      <c r="GGJ20" s="87"/>
      <c r="GGK20" s="87"/>
      <c r="GGL20" s="87"/>
      <c r="GGM20" s="87"/>
      <c r="GGN20" s="87"/>
      <c r="GGO20" s="87"/>
      <c r="GGP20" s="87"/>
      <c r="GGQ20" s="87"/>
      <c r="GGR20" s="87"/>
      <c r="GGS20" s="87"/>
      <c r="GGT20" s="87"/>
      <c r="GGU20" s="87"/>
      <c r="GGV20" s="87"/>
      <c r="GGW20" s="87"/>
      <c r="GGX20" s="87"/>
      <c r="GGY20" s="87"/>
      <c r="GGZ20" s="87"/>
      <c r="GHA20" s="87"/>
      <c r="GHB20" s="87"/>
      <c r="GHC20" s="87"/>
      <c r="GHD20" s="87"/>
      <c r="GHE20" s="87"/>
      <c r="GHF20" s="87"/>
      <c r="GHG20" s="87"/>
      <c r="GHH20" s="87"/>
      <c r="GHI20" s="87"/>
      <c r="GHJ20" s="87"/>
      <c r="GHK20" s="87"/>
      <c r="GHL20" s="87"/>
      <c r="GHM20" s="87"/>
      <c r="GHN20" s="87"/>
      <c r="GHO20" s="87"/>
      <c r="GHP20" s="87"/>
      <c r="GHQ20" s="87"/>
      <c r="GHR20" s="87"/>
      <c r="GHS20" s="87"/>
      <c r="GHT20" s="87"/>
      <c r="GHU20" s="87"/>
      <c r="GHV20" s="87"/>
      <c r="GHW20" s="87"/>
      <c r="GHX20" s="87"/>
      <c r="GHY20" s="87"/>
      <c r="GHZ20" s="87"/>
      <c r="GIA20" s="87"/>
      <c r="GIB20" s="87"/>
      <c r="GIC20" s="87"/>
      <c r="GID20" s="87"/>
      <c r="GIE20" s="87"/>
      <c r="GIF20" s="87"/>
      <c r="GIG20" s="87"/>
      <c r="GIH20" s="87"/>
      <c r="GII20" s="87"/>
      <c r="GIJ20" s="87"/>
      <c r="GIK20" s="87"/>
      <c r="GIL20" s="87"/>
      <c r="GIM20" s="87"/>
      <c r="GIN20" s="87"/>
      <c r="GIO20" s="87"/>
      <c r="GIP20" s="87"/>
      <c r="GIQ20" s="87"/>
      <c r="GIR20" s="87"/>
      <c r="GIS20" s="87"/>
      <c r="GIT20" s="87"/>
      <c r="GIU20" s="87"/>
      <c r="GIV20" s="87"/>
      <c r="GIW20" s="87"/>
      <c r="GIX20" s="87"/>
      <c r="GIY20" s="87"/>
      <c r="GIZ20" s="87"/>
      <c r="GJA20" s="87"/>
      <c r="GJB20" s="87"/>
      <c r="GJC20" s="87"/>
      <c r="GJD20" s="87"/>
      <c r="GJE20" s="87"/>
      <c r="GJF20" s="87"/>
      <c r="GJG20" s="87"/>
      <c r="GJH20" s="87"/>
      <c r="GJI20" s="87"/>
      <c r="GJJ20" s="87"/>
      <c r="GJK20" s="87"/>
      <c r="GJL20" s="87"/>
      <c r="GJM20" s="87"/>
      <c r="GJN20" s="87"/>
      <c r="GJO20" s="87"/>
      <c r="GJP20" s="87"/>
      <c r="GJQ20" s="87"/>
      <c r="GJR20" s="87"/>
      <c r="GJS20" s="87"/>
      <c r="GJT20" s="87"/>
      <c r="GJU20" s="87"/>
      <c r="GJV20" s="87"/>
      <c r="GJW20" s="87"/>
      <c r="GJX20" s="87"/>
      <c r="GJY20" s="87"/>
      <c r="GJZ20" s="87"/>
      <c r="GKA20" s="87"/>
      <c r="GKB20" s="87"/>
      <c r="GKC20" s="87"/>
      <c r="GKD20" s="87"/>
      <c r="GKE20" s="87"/>
      <c r="GKF20" s="87"/>
      <c r="GKG20" s="87"/>
      <c r="GKH20" s="87"/>
      <c r="GKI20" s="87"/>
      <c r="GKJ20" s="87"/>
      <c r="GKK20" s="87"/>
      <c r="GKL20" s="87"/>
      <c r="GKM20" s="87"/>
      <c r="GKN20" s="87"/>
      <c r="GKO20" s="87"/>
      <c r="GKP20" s="87"/>
      <c r="GKQ20" s="87"/>
      <c r="GKR20" s="87"/>
      <c r="GKS20" s="87"/>
      <c r="GKT20" s="87"/>
      <c r="GKU20" s="87"/>
      <c r="GKV20" s="87"/>
      <c r="GKW20" s="87"/>
      <c r="GKX20" s="87"/>
      <c r="GKY20" s="87"/>
      <c r="GKZ20" s="87"/>
      <c r="GLA20" s="87"/>
      <c r="GLB20" s="87"/>
      <c r="GLC20" s="87"/>
      <c r="GLD20" s="87"/>
      <c r="GLE20" s="87"/>
      <c r="GLF20" s="87"/>
      <c r="GLG20" s="87"/>
      <c r="GLH20" s="87"/>
      <c r="GLI20" s="87"/>
      <c r="GLJ20" s="87"/>
      <c r="GLK20" s="87"/>
      <c r="GLL20" s="87"/>
      <c r="GLM20" s="87"/>
      <c r="GLN20" s="87"/>
      <c r="GLO20" s="87"/>
      <c r="GLP20" s="87"/>
      <c r="GLQ20" s="87"/>
      <c r="GLR20" s="87"/>
      <c r="GLS20" s="87"/>
      <c r="GLT20" s="87"/>
      <c r="GLU20" s="87"/>
      <c r="GLV20" s="87"/>
      <c r="GLW20" s="87"/>
      <c r="GLX20" s="87"/>
      <c r="GLY20" s="87"/>
      <c r="GLZ20" s="87"/>
      <c r="GMA20" s="87"/>
      <c r="GMB20" s="87"/>
      <c r="GMC20" s="87"/>
      <c r="GMD20" s="87"/>
      <c r="GME20" s="87"/>
      <c r="GMF20" s="87"/>
      <c r="GMG20" s="87"/>
      <c r="GMH20" s="87"/>
      <c r="GMI20" s="87"/>
      <c r="GMJ20" s="87"/>
      <c r="GMK20" s="87"/>
      <c r="GML20" s="87"/>
      <c r="GMM20" s="87"/>
      <c r="GMN20" s="87"/>
      <c r="GMO20" s="87"/>
      <c r="GMP20" s="87"/>
      <c r="GMQ20" s="87"/>
      <c r="GMR20" s="87"/>
      <c r="GMS20" s="87"/>
      <c r="GMT20" s="87"/>
      <c r="GMU20" s="87"/>
      <c r="GMV20" s="87"/>
      <c r="GMW20" s="87"/>
      <c r="GMX20" s="87"/>
      <c r="GMY20" s="87"/>
      <c r="GMZ20" s="87"/>
      <c r="GNA20" s="87"/>
      <c r="GNB20" s="87"/>
      <c r="GNC20" s="87"/>
      <c r="GND20" s="87"/>
      <c r="GNE20" s="87"/>
      <c r="GNF20" s="87"/>
      <c r="GNG20" s="87"/>
      <c r="GNH20" s="87"/>
      <c r="GNI20" s="87"/>
      <c r="GNJ20" s="87"/>
      <c r="GNK20" s="87"/>
      <c r="GNL20" s="87"/>
      <c r="GNM20" s="87"/>
      <c r="GNN20" s="87"/>
      <c r="GNO20" s="87"/>
      <c r="GNP20" s="87"/>
      <c r="GNQ20" s="87"/>
      <c r="GNR20" s="87"/>
      <c r="GNS20" s="87"/>
      <c r="GNT20" s="87"/>
      <c r="GNU20" s="87"/>
      <c r="GNV20" s="87"/>
      <c r="GNW20" s="87"/>
      <c r="GNX20" s="87"/>
      <c r="GNY20" s="87"/>
      <c r="GNZ20" s="87"/>
      <c r="GOA20" s="87"/>
      <c r="GOB20" s="87"/>
      <c r="GOC20" s="87"/>
      <c r="GOD20" s="87"/>
      <c r="GOE20" s="87"/>
      <c r="GOF20" s="87"/>
      <c r="GOG20" s="87"/>
      <c r="GOH20" s="87"/>
      <c r="GOI20" s="87"/>
      <c r="GOJ20" s="87"/>
      <c r="GOK20" s="87"/>
      <c r="GOL20" s="87"/>
      <c r="GOM20" s="87"/>
      <c r="GON20" s="87"/>
      <c r="GOO20" s="87"/>
      <c r="GOP20" s="87"/>
      <c r="GOQ20" s="87"/>
      <c r="GOR20" s="87"/>
      <c r="GOS20" s="87"/>
      <c r="GOT20" s="87"/>
      <c r="GOU20" s="87"/>
      <c r="GOV20" s="87"/>
      <c r="GOW20" s="87"/>
      <c r="GOX20" s="87"/>
      <c r="GOY20" s="87"/>
      <c r="GOZ20" s="87"/>
      <c r="GPA20" s="87"/>
      <c r="GPB20" s="87"/>
      <c r="GPC20" s="87"/>
      <c r="GPD20" s="87"/>
      <c r="GPE20" s="87"/>
      <c r="GPF20" s="87"/>
      <c r="GPG20" s="87"/>
      <c r="GPH20" s="87"/>
      <c r="GPI20" s="87"/>
      <c r="GPJ20" s="87"/>
      <c r="GPK20" s="87"/>
      <c r="GPL20" s="87"/>
      <c r="GPM20" s="87"/>
      <c r="GPN20" s="87"/>
      <c r="GPO20" s="87"/>
      <c r="GPP20" s="87"/>
      <c r="GPQ20" s="87"/>
      <c r="GPR20" s="87"/>
      <c r="GPS20" s="87"/>
      <c r="GPT20" s="87"/>
      <c r="GPU20" s="87"/>
      <c r="GPV20" s="87"/>
      <c r="GPW20" s="87"/>
      <c r="GPX20" s="87"/>
      <c r="GPY20" s="87"/>
      <c r="GPZ20" s="87"/>
      <c r="GQA20" s="87"/>
      <c r="GQB20" s="87"/>
      <c r="GQC20" s="87"/>
      <c r="GQD20" s="87"/>
      <c r="GQE20" s="87"/>
      <c r="GQF20" s="87"/>
      <c r="GQG20" s="87"/>
      <c r="GQH20" s="87"/>
      <c r="GQI20" s="87"/>
      <c r="GQJ20" s="87"/>
      <c r="GQK20" s="87"/>
      <c r="GQL20" s="87"/>
      <c r="GQM20" s="87"/>
      <c r="GQN20" s="87"/>
      <c r="GQO20" s="87"/>
      <c r="GQP20" s="87"/>
      <c r="GQQ20" s="87"/>
      <c r="GQR20" s="87"/>
      <c r="GQS20" s="87"/>
      <c r="GQT20" s="87"/>
      <c r="GQU20" s="87"/>
      <c r="GQV20" s="87"/>
      <c r="GQW20" s="87"/>
      <c r="GQX20" s="87"/>
      <c r="GQY20" s="87"/>
      <c r="GQZ20" s="87"/>
      <c r="GRA20" s="87"/>
      <c r="GRB20" s="87"/>
      <c r="GRC20" s="87"/>
      <c r="GRD20" s="87"/>
      <c r="GRE20" s="87"/>
      <c r="GRF20" s="87"/>
      <c r="GRG20" s="87"/>
      <c r="GRH20" s="87"/>
      <c r="GRI20" s="87"/>
      <c r="GRJ20" s="87"/>
      <c r="GRK20" s="87"/>
      <c r="GRL20" s="87"/>
      <c r="GRM20" s="87"/>
      <c r="GRN20" s="87"/>
      <c r="GRO20" s="87"/>
      <c r="GRP20" s="87"/>
      <c r="GRQ20" s="87"/>
      <c r="GRR20" s="87"/>
      <c r="GRS20" s="87"/>
      <c r="GRT20" s="87"/>
      <c r="GRU20" s="87"/>
      <c r="GRV20" s="87"/>
      <c r="GRW20" s="87"/>
      <c r="GRX20" s="87"/>
      <c r="GRY20" s="87"/>
      <c r="GRZ20" s="87"/>
      <c r="GSA20" s="87"/>
      <c r="GSB20" s="87"/>
      <c r="GSC20" s="87"/>
      <c r="GSD20" s="87"/>
      <c r="GSE20" s="87"/>
      <c r="GSF20" s="87"/>
      <c r="GSG20" s="87"/>
      <c r="GSH20" s="87"/>
      <c r="GSI20" s="87"/>
      <c r="GSJ20" s="87"/>
      <c r="GSK20" s="87"/>
      <c r="GSL20" s="87"/>
      <c r="GSM20" s="87"/>
      <c r="GSN20" s="87"/>
      <c r="GSO20" s="87"/>
      <c r="GSP20" s="87"/>
      <c r="GSQ20" s="87"/>
      <c r="GSR20" s="87"/>
      <c r="GSS20" s="87"/>
      <c r="GST20" s="87"/>
      <c r="GSU20" s="87"/>
      <c r="GSV20" s="87"/>
      <c r="GSW20" s="87"/>
      <c r="GSX20" s="87"/>
      <c r="GSY20" s="87"/>
      <c r="GSZ20" s="87"/>
      <c r="GTA20" s="87"/>
      <c r="GTB20" s="87"/>
      <c r="GTC20" s="87"/>
      <c r="GTD20" s="87"/>
      <c r="GTE20" s="87"/>
      <c r="GTF20" s="87"/>
      <c r="GTG20" s="87"/>
      <c r="GTH20" s="87"/>
      <c r="GTI20" s="87"/>
      <c r="GTJ20" s="87"/>
      <c r="GTK20" s="87"/>
      <c r="GTL20" s="87"/>
      <c r="GTM20" s="87"/>
      <c r="GTN20" s="87"/>
      <c r="GTO20" s="87"/>
      <c r="GTP20" s="87"/>
      <c r="GTQ20" s="87"/>
      <c r="GTR20" s="87"/>
      <c r="GTS20" s="87"/>
      <c r="GTT20" s="87"/>
      <c r="GTU20" s="87"/>
      <c r="GTV20" s="87"/>
      <c r="GTW20" s="87"/>
      <c r="GTX20" s="87"/>
      <c r="GTY20" s="87"/>
      <c r="GTZ20" s="87"/>
      <c r="GUA20" s="87"/>
      <c r="GUB20" s="87"/>
      <c r="GUC20" s="87"/>
      <c r="GUD20" s="87"/>
      <c r="GUE20" s="87"/>
      <c r="GUF20" s="87"/>
      <c r="GUG20" s="87"/>
      <c r="GUH20" s="87"/>
      <c r="GUI20" s="87"/>
      <c r="GUJ20" s="87"/>
      <c r="GUK20" s="87"/>
      <c r="GUL20" s="87"/>
      <c r="GUM20" s="87"/>
      <c r="GUN20" s="87"/>
      <c r="GUO20" s="87"/>
      <c r="GUP20" s="87"/>
      <c r="GUQ20" s="87"/>
      <c r="GUR20" s="87"/>
      <c r="GUS20" s="87"/>
      <c r="GUT20" s="87"/>
      <c r="GUU20" s="87"/>
      <c r="GUV20" s="87"/>
      <c r="GUW20" s="87"/>
      <c r="GUX20" s="87"/>
      <c r="GUY20" s="87"/>
      <c r="GUZ20" s="87"/>
      <c r="GVA20" s="87"/>
      <c r="GVB20" s="87"/>
      <c r="GVC20" s="87"/>
      <c r="GVD20" s="87"/>
      <c r="GVE20" s="87"/>
      <c r="GVF20" s="87"/>
      <c r="GVG20" s="87"/>
      <c r="GVH20" s="87"/>
      <c r="GVI20" s="87"/>
      <c r="GVJ20" s="87"/>
      <c r="GVK20" s="87"/>
      <c r="GVL20" s="87"/>
      <c r="GVM20" s="87"/>
      <c r="GVN20" s="87"/>
      <c r="GVO20" s="87"/>
      <c r="GVP20" s="87"/>
      <c r="GVQ20" s="87"/>
      <c r="GVR20" s="87"/>
      <c r="GVS20" s="87"/>
      <c r="GVT20" s="87"/>
      <c r="GVU20" s="87"/>
      <c r="GVV20" s="87"/>
      <c r="GVW20" s="87"/>
      <c r="GVX20" s="87"/>
      <c r="GVY20" s="87"/>
      <c r="GVZ20" s="87"/>
      <c r="GWA20" s="87"/>
      <c r="GWB20" s="87"/>
      <c r="GWC20" s="87"/>
      <c r="GWD20" s="87"/>
      <c r="GWE20" s="87"/>
      <c r="GWF20" s="87"/>
      <c r="GWG20" s="87"/>
      <c r="GWH20" s="87"/>
      <c r="GWI20" s="87"/>
      <c r="GWJ20" s="87"/>
      <c r="GWK20" s="87"/>
      <c r="GWL20" s="87"/>
      <c r="GWM20" s="87"/>
      <c r="GWN20" s="87"/>
      <c r="GWO20" s="87"/>
      <c r="GWP20" s="87"/>
      <c r="GWQ20" s="87"/>
      <c r="GWR20" s="87"/>
      <c r="GWS20" s="87"/>
      <c r="GWT20" s="87"/>
      <c r="GWU20" s="87"/>
      <c r="GWV20" s="87"/>
      <c r="GWW20" s="87"/>
      <c r="GWX20" s="87"/>
      <c r="GWY20" s="87"/>
      <c r="GWZ20" s="87"/>
      <c r="GXA20" s="87"/>
      <c r="GXB20" s="87"/>
      <c r="GXC20" s="87"/>
      <c r="GXD20" s="87"/>
      <c r="GXE20" s="87"/>
      <c r="GXF20" s="87"/>
      <c r="GXG20" s="87"/>
      <c r="GXH20" s="87"/>
      <c r="GXI20" s="87"/>
      <c r="GXJ20" s="87"/>
      <c r="GXK20" s="87"/>
      <c r="GXL20" s="87"/>
      <c r="GXM20" s="87"/>
      <c r="GXN20" s="87"/>
      <c r="GXO20" s="87"/>
      <c r="GXP20" s="87"/>
      <c r="GXQ20" s="87"/>
      <c r="GXR20" s="87"/>
      <c r="GXS20" s="87"/>
      <c r="GXT20" s="87"/>
      <c r="GXU20" s="87"/>
      <c r="GXV20" s="87"/>
      <c r="GXW20" s="87"/>
      <c r="GXX20" s="87"/>
      <c r="GXY20" s="87"/>
      <c r="GXZ20" s="87"/>
      <c r="GYA20" s="87"/>
      <c r="GYB20" s="87"/>
      <c r="GYC20" s="87"/>
      <c r="GYD20" s="87"/>
      <c r="GYE20" s="87"/>
      <c r="GYF20" s="87"/>
      <c r="GYG20" s="87"/>
      <c r="GYH20" s="87"/>
      <c r="GYI20" s="87"/>
      <c r="GYJ20" s="87"/>
      <c r="GYK20" s="87"/>
      <c r="GYL20" s="87"/>
      <c r="GYM20" s="87"/>
      <c r="GYN20" s="87"/>
      <c r="GYO20" s="87"/>
      <c r="GYP20" s="87"/>
      <c r="GYQ20" s="87"/>
      <c r="GYR20" s="87"/>
      <c r="GYS20" s="87"/>
      <c r="GYT20" s="87"/>
      <c r="GYU20" s="87"/>
      <c r="GYV20" s="87"/>
      <c r="GYW20" s="87"/>
      <c r="GYX20" s="87"/>
      <c r="GYY20" s="87"/>
      <c r="GYZ20" s="87"/>
      <c r="GZA20" s="87"/>
      <c r="GZB20" s="87"/>
      <c r="GZC20" s="87"/>
      <c r="GZD20" s="87"/>
      <c r="GZE20" s="87"/>
      <c r="GZF20" s="87"/>
      <c r="GZG20" s="87"/>
      <c r="GZH20" s="87"/>
      <c r="GZI20" s="87"/>
      <c r="GZJ20" s="87"/>
      <c r="GZK20" s="87"/>
      <c r="GZL20" s="87"/>
      <c r="GZM20" s="87"/>
      <c r="GZN20" s="87"/>
      <c r="GZO20" s="87"/>
      <c r="GZP20" s="87"/>
      <c r="GZQ20" s="87"/>
      <c r="GZR20" s="87"/>
      <c r="GZS20" s="87"/>
      <c r="GZT20" s="87"/>
      <c r="GZU20" s="87"/>
      <c r="GZV20" s="87"/>
      <c r="GZW20" s="87"/>
      <c r="GZX20" s="87"/>
      <c r="GZY20" s="87"/>
      <c r="GZZ20" s="87"/>
      <c r="HAA20" s="87"/>
      <c r="HAB20" s="87"/>
      <c r="HAC20" s="87"/>
      <c r="HAD20" s="87"/>
      <c r="HAE20" s="87"/>
      <c r="HAF20" s="87"/>
      <c r="HAG20" s="87"/>
      <c r="HAH20" s="87"/>
      <c r="HAI20" s="87"/>
      <c r="HAJ20" s="87"/>
      <c r="HAK20" s="87"/>
      <c r="HAL20" s="87"/>
      <c r="HAM20" s="87"/>
      <c r="HAN20" s="87"/>
      <c r="HAO20" s="87"/>
      <c r="HAP20" s="87"/>
      <c r="HAQ20" s="87"/>
      <c r="HAR20" s="87"/>
      <c r="HAS20" s="87"/>
      <c r="HAT20" s="87"/>
      <c r="HAU20" s="87"/>
      <c r="HAV20" s="87"/>
      <c r="HAW20" s="87"/>
      <c r="HAX20" s="87"/>
      <c r="HAY20" s="87"/>
      <c r="HAZ20" s="87"/>
      <c r="HBA20" s="87"/>
      <c r="HBB20" s="87"/>
      <c r="HBC20" s="87"/>
      <c r="HBD20" s="87"/>
      <c r="HBE20" s="87"/>
      <c r="HBF20" s="87"/>
      <c r="HBG20" s="87"/>
      <c r="HBH20" s="87"/>
      <c r="HBI20" s="87"/>
      <c r="HBJ20" s="87"/>
      <c r="HBK20" s="87"/>
      <c r="HBL20" s="87"/>
      <c r="HBM20" s="87"/>
      <c r="HBN20" s="87"/>
      <c r="HBO20" s="87"/>
      <c r="HBP20" s="87"/>
      <c r="HBQ20" s="87"/>
      <c r="HBR20" s="87"/>
      <c r="HBS20" s="87"/>
      <c r="HBT20" s="87"/>
      <c r="HBU20" s="87"/>
      <c r="HBV20" s="87"/>
      <c r="HBW20" s="87"/>
      <c r="HBX20" s="87"/>
      <c r="HBY20" s="87"/>
      <c r="HBZ20" s="87"/>
      <c r="HCA20" s="87"/>
      <c r="HCB20" s="87"/>
      <c r="HCC20" s="87"/>
      <c r="HCD20" s="87"/>
      <c r="HCE20" s="87"/>
      <c r="HCF20" s="87"/>
      <c r="HCG20" s="87"/>
      <c r="HCH20" s="87"/>
      <c r="HCI20" s="87"/>
      <c r="HCJ20" s="87"/>
      <c r="HCK20" s="87"/>
      <c r="HCL20" s="87"/>
      <c r="HCM20" s="87"/>
      <c r="HCN20" s="87"/>
      <c r="HCO20" s="87"/>
      <c r="HCP20" s="87"/>
      <c r="HCQ20" s="87"/>
      <c r="HCR20" s="87"/>
      <c r="HCS20" s="87"/>
      <c r="HCT20" s="87"/>
      <c r="HCU20" s="87"/>
      <c r="HCV20" s="87"/>
      <c r="HCW20" s="87"/>
      <c r="HCX20" s="87"/>
      <c r="HCY20" s="87"/>
      <c r="HCZ20" s="87"/>
      <c r="HDA20" s="87"/>
      <c r="HDB20" s="87"/>
      <c r="HDC20" s="87"/>
      <c r="HDD20" s="87"/>
      <c r="HDE20" s="87"/>
      <c r="HDF20" s="87"/>
      <c r="HDG20" s="87"/>
      <c r="HDH20" s="87"/>
      <c r="HDI20" s="87"/>
      <c r="HDJ20" s="87"/>
      <c r="HDK20" s="87"/>
      <c r="HDL20" s="87"/>
      <c r="HDM20" s="87"/>
      <c r="HDN20" s="87"/>
      <c r="HDO20" s="87"/>
      <c r="HDP20" s="87"/>
      <c r="HDQ20" s="87"/>
      <c r="HDR20" s="87"/>
      <c r="HDS20" s="87"/>
      <c r="HDT20" s="87"/>
      <c r="HDU20" s="87"/>
      <c r="HDV20" s="87"/>
      <c r="HDW20" s="87"/>
      <c r="HDX20" s="87"/>
      <c r="HDY20" s="87"/>
      <c r="HDZ20" s="87"/>
      <c r="HEA20" s="87"/>
      <c r="HEB20" s="87"/>
      <c r="HEC20" s="87"/>
      <c r="HED20" s="87"/>
      <c r="HEE20" s="87"/>
      <c r="HEF20" s="87"/>
      <c r="HEG20" s="87"/>
      <c r="HEH20" s="87"/>
      <c r="HEI20" s="87"/>
      <c r="HEJ20" s="87"/>
      <c r="HEK20" s="87"/>
      <c r="HEL20" s="87"/>
      <c r="HEM20" s="87"/>
      <c r="HEN20" s="87"/>
      <c r="HEO20" s="87"/>
      <c r="HEP20" s="87"/>
      <c r="HEQ20" s="87"/>
      <c r="HER20" s="87"/>
      <c r="HES20" s="87"/>
      <c r="HET20" s="87"/>
      <c r="HEU20" s="87"/>
      <c r="HEV20" s="87"/>
      <c r="HEW20" s="87"/>
      <c r="HEX20" s="87"/>
      <c r="HEY20" s="87"/>
      <c r="HEZ20" s="87"/>
      <c r="HFA20" s="87"/>
      <c r="HFB20" s="87"/>
      <c r="HFC20" s="87"/>
      <c r="HFD20" s="87"/>
      <c r="HFE20" s="87"/>
      <c r="HFF20" s="87"/>
      <c r="HFG20" s="87"/>
      <c r="HFH20" s="87"/>
      <c r="HFI20" s="87"/>
      <c r="HFJ20" s="87"/>
      <c r="HFK20" s="87"/>
      <c r="HFL20" s="87"/>
      <c r="HFM20" s="87"/>
      <c r="HFN20" s="87"/>
      <c r="HFO20" s="87"/>
      <c r="HFP20" s="87"/>
      <c r="HFQ20" s="87"/>
      <c r="HFR20" s="87"/>
      <c r="HFS20" s="87"/>
      <c r="HFT20" s="87"/>
      <c r="HFU20" s="87"/>
      <c r="HFV20" s="87"/>
      <c r="HFW20" s="87"/>
      <c r="HFX20" s="87"/>
      <c r="HFY20" s="87"/>
      <c r="HFZ20" s="87"/>
      <c r="HGA20" s="87"/>
      <c r="HGB20" s="87"/>
      <c r="HGC20" s="87"/>
      <c r="HGD20" s="87"/>
      <c r="HGE20" s="87"/>
      <c r="HGF20" s="87"/>
      <c r="HGG20" s="87"/>
      <c r="HGH20" s="87"/>
      <c r="HGI20" s="87"/>
      <c r="HGJ20" s="87"/>
      <c r="HGK20" s="87"/>
      <c r="HGL20" s="87"/>
      <c r="HGM20" s="87"/>
      <c r="HGN20" s="87"/>
      <c r="HGO20" s="87"/>
      <c r="HGP20" s="87"/>
      <c r="HGQ20" s="87"/>
      <c r="HGR20" s="87"/>
      <c r="HGS20" s="87"/>
      <c r="HGT20" s="87"/>
      <c r="HGU20" s="87"/>
      <c r="HGV20" s="87"/>
      <c r="HGW20" s="87"/>
      <c r="HGX20" s="87"/>
      <c r="HGY20" s="87"/>
      <c r="HGZ20" s="87"/>
      <c r="HHA20" s="87"/>
      <c r="HHB20" s="87"/>
      <c r="HHC20" s="87"/>
      <c r="HHD20" s="87"/>
      <c r="HHE20" s="87"/>
      <c r="HHF20" s="87"/>
      <c r="HHG20" s="87"/>
      <c r="HHH20" s="87"/>
      <c r="HHI20" s="87"/>
      <c r="HHJ20" s="87"/>
      <c r="HHK20" s="87"/>
      <c r="HHL20" s="87"/>
      <c r="HHM20" s="87"/>
      <c r="HHN20" s="87"/>
      <c r="HHO20" s="87"/>
      <c r="HHP20" s="87"/>
      <c r="HHQ20" s="87"/>
      <c r="HHR20" s="87"/>
      <c r="HHS20" s="87"/>
      <c r="HHT20" s="87"/>
      <c r="HHU20" s="87"/>
      <c r="HHV20" s="87"/>
      <c r="HHW20" s="87"/>
      <c r="HHX20" s="87"/>
      <c r="HHY20" s="87"/>
      <c r="HHZ20" s="87"/>
      <c r="HIA20" s="87"/>
      <c r="HIB20" s="87"/>
      <c r="HIC20" s="87"/>
      <c r="HID20" s="87"/>
      <c r="HIE20" s="87"/>
      <c r="HIF20" s="87"/>
      <c r="HIG20" s="87"/>
      <c r="HIH20" s="87"/>
      <c r="HII20" s="87"/>
      <c r="HIJ20" s="87"/>
      <c r="HIK20" s="87"/>
      <c r="HIL20" s="87"/>
      <c r="HIM20" s="87"/>
      <c r="HIN20" s="87"/>
      <c r="HIO20" s="87"/>
      <c r="HIP20" s="87"/>
      <c r="HIQ20" s="87"/>
      <c r="HIR20" s="87"/>
      <c r="HIS20" s="87"/>
      <c r="HIT20" s="87"/>
      <c r="HIU20" s="87"/>
      <c r="HIV20" s="87"/>
      <c r="HIW20" s="87"/>
      <c r="HIX20" s="87"/>
      <c r="HIY20" s="87"/>
      <c r="HIZ20" s="87"/>
      <c r="HJA20" s="87"/>
      <c r="HJB20" s="87"/>
      <c r="HJC20" s="87"/>
      <c r="HJD20" s="87"/>
      <c r="HJE20" s="87"/>
      <c r="HJF20" s="87"/>
      <c r="HJG20" s="87"/>
      <c r="HJH20" s="87"/>
      <c r="HJI20" s="87"/>
      <c r="HJJ20" s="87"/>
      <c r="HJK20" s="87"/>
      <c r="HJL20" s="87"/>
      <c r="HJM20" s="87"/>
      <c r="HJN20" s="87"/>
      <c r="HJO20" s="87"/>
      <c r="HJP20" s="87"/>
      <c r="HJQ20" s="87"/>
      <c r="HJR20" s="87"/>
      <c r="HJS20" s="87"/>
      <c r="HJT20" s="87"/>
      <c r="HJU20" s="87"/>
      <c r="HJV20" s="87"/>
      <c r="HJW20" s="87"/>
      <c r="HJX20" s="87"/>
      <c r="HJY20" s="87"/>
      <c r="HJZ20" s="87"/>
      <c r="HKA20" s="87"/>
      <c r="HKB20" s="87"/>
      <c r="HKC20" s="87"/>
      <c r="HKD20" s="87"/>
      <c r="HKE20" s="87"/>
      <c r="HKF20" s="87"/>
      <c r="HKG20" s="87"/>
      <c r="HKH20" s="87"/>
      <c r="HKI20" s="87"/>
      <c r="HKJ20" s="87"/>
      <c r="HKK20" s="87"/>
      <c r="HKL20" s="87"/>
      <c r="HKM20" s="87"/>
      <c r="HKN20" s="87"/>
      <c r="HKO20" s="87"/>
      <c r="HKP20" s="87"/>
      <c r="HKQ20" s="87"/>
      <c r="HKR20" s="87"/>
      <c r="HKS20" s="87"/>
      <c r="HKT20" s="87"/>
      <c r="HKU20" s="87"/>
      <c r="HKV20" s="87"/>
      <c r="HKW20" s="87"/>
      <c r="HKX20" s="87"/>
      <c r="HKY20" s="87"/>
      <c r="HKZ20" s="87"/>
      <c r="HLA20" s="87"/>
      <c r="HLB20" s="87"/>
      <c r="HLC20" s="87"/>
      <c r="HLD20" s="87"/>
      <c r="HLE20" s="87"/>
      <c r="HLF20" s="87"/>
      <c r="HLG20" s="87"/>
      <c r="HLH20" s="87"/>
      <c r="HLI20" s="87"/>
      <c r="HLJ20" s="87"/>
      <c r="HLK20" s="87"/>
      <c r="HLL20" s="87"/>
      <c r="HLM20" s="87"/>
      <c r="HLN20" s="87"/>
      <c r="HLO20" s="87"/>
      <c r="HLP20" s="87"/>
      <c r="HLQ20" s="87"/>
      <c r="HLR20" s="87"/>
      <c r="HLS20" s="87"/>
      <c r="HLT20" s="87"/>
      <c r="HLU20" s="87"/>
      <c r="HLV20" s="87"/>
      <c r="HLW20" s="87"/>
      <c r="HLX20" s="87"/>
      <c r="HLY20" s="87"/>
      <c r="HLZ20" s="87"/>
      <c r="HMA20" s="87"/>
      <c r="HMB20" s="87"/>
      <c r="HMC20" s="87"/>
      <c r="HMD20" s="87"/>
      <c r="HME20" s="87"/>
      <c r="HMF20" s="87"/>
      <c r="HMG20" s="87"/>
      <c r="HMH20" s="87"/>
      <c r="HMI20" s="87"/>
      <c r="HMJ20" s="87"/>
      <c r="HMK20" s="87"/>
      <c r="HML20" s="87"/>
      <c r="HMM20" s="87"/>
      <c r="HMN20" s="87"/>
      <c r="HMO20" s="87"/>
      <c r="HMP20" s="87"/>
      <c r="HMQ20" s="87"/>
      <c r="HMR20" s="87"/>
      <c r="HMS20" s="87"/>
      <c r="HMT20" s="87"/>
      <c r="HMU20" s="87"/>
      <c r="HMV20" s="87"/>
      <c r="HMW20" s="87"/>
      <c r="HMX20" s="87"/>
      <c r="HMY20" s="87"/>
      <c r="HMZ20" s="87"/>
      <c r="HNA20" s="87"/>
      <c r="HNB20" s="87"/>
      <c r="HNC20" s="87"/>
      <c r="HND20" s="87"/>
      <c r="HNE20" s="87"/>
      <c r="HNF20" s="87"/>
      <c r="HNG20" s="87"/>
      <c r="HNH20" s="87"/>
      <c r="HNI20" s="87"/>
      <c r="HNJ20" s="87"/>
      <c r="HNK20" s="87"/>
      <c r="HNL20" s="87"/>
      <c r="HNM20" s="87"/>
      <c r="HNN20" s="87"/>
      <c r="HNO20" s="87"/>
      <c r="HNP20" s="87"/>
      <c r="HNQ20" s="87"/>
      <c r="HNR20" s="87"/>
      <c r="HNS20" s="87"/>
      <c r="HNT20" s="87"/>
      <c r="HNU20" s="87"/>
      <c r="HNV20" s="87"/>
      <c r="HNW20" s="87"/>
      <c r="HNX20" s="87"/>
      <c r="HNY20" s="87"/>
      <c r="HNZ20" s="87"/>
      <c r="HOA20" s="87"/>
      <c r="HOB20" s="87"/>
      <c r="HOC20" s="87"/>
      <c r="HOD20" s="87"/>
      <c r="HOE20" s="87"/>
      <c r="HOF20" s="87"/>
      <c r="HOG20" s="87"/>
      <c r="HOH20" s="87"/>
      <c r="HOI20" s="87"/>
      <c r="HOJ20" s="87"/>
      <c r="HOK20" s="87"/>
      <c r="HOL20" s="87"/>
      <c r="HOM20" s="87"/>
      <c r="HON20" s="87"/>
      <c r="HOO20" s="87"/>
      <c r="HOP20" s="87"/>
      <c r="HOQ20" s="87"/>
      <c r="HOR20" s="87"/>
      <c r="HOS20" s="87"/>
      <c r="HOT20" s="87"/>
      <c r="HOU20" s="87"/>
      <c r="HOV20" s="87"/>
      <c r="HOW20" s="87"/>
      <c r="HOX20" s="87"/>
      <c r="HOY20" s="87"/>
      <c r="HOZ20" s="87"/>
      <c r="HPA20" s="87"/>
      <c r="HPB20" s="87"/>
      <c r="HPC20" s="87"/>
      <c r="HPD20" s="87"/>
      <c r="HPE20" s="87"/>
      <c r="HPF20" s="87"/>
      <c r="HPG20" s="87"/>
      <c r="HPH20" s="87"/>
      <c r="HPI20" s="87"/>
      <c r="HPJ20" s="87"/>
      <c r="HPK20" s="87"/>
      <c r="HPL20" s="87"/>
      <c r="HPM20" s="87"/>
      <c r="HPN20" s="87"/>
      <c r="HPO20" s="87"/>
      <c r="HPP20" s="87"/>
      <c r="HPQ20" s="87"/>
      <c r="HPR20" s="87"/>
      <c r="HPS20" s="87"/>
      <c r="HPT20" s="87"/>
      <c r="HPU20" s="87"/>
      <c r="HPV20" s="87"/>
      <c r="HPW20" s="87"/>
      <c r="HPX20" s="87"/>
      <c r="HPY20" s="87"/>
      <c r="HPZ20" s="87"/>
      <c r="HQA20" s="87"/>
      <c r="HQB20" s="87"/>
      <c r="HQC20" s="87"/>
      <c r="HQD20" s="87"/>
      <c r="HQE20" s="87"/>
      <c r="HQF20" s="87"/>
      <c r="HQG20" s="87"/>
      <c r="HQH20" s="87"/>
      <c r="HQI20" s="87"/>
      <c r="HQJ20" s="87"/>
      <c r="HQK20" s="87"/>
      <c r="HQL20" s="87"/>
      <c r="HQM20" s="87"/>
      <c r="HQN20" s="87"/>
      <c r="HQO20" s="87"/>
      <c r="HQP20" s="87"/>
      <c r="HQQ20" s="87"/>
      <c r="HQR20" s="87"/>
      <c r="HQS20" s="87"/>
      <c r="HQT20" s="87"/>
      <c r="HQU20" s="87"/>
      <c r="HQV20" s="87"/>
      <c r="HQW20" s="87"/>
      <c r="HQX20" s="87"/>
      <c r="HQY20" s="87"/>
      <c r="HQZ20" s="87"/>
      <c r="HRA20" s="87"/>
      <c r="HRB20" s="87"/>
      <c r="HRC20" s="87"/>
      <c r="HRD20" s="87"/>
      <c r="HRE20" s="87"/>
      <c r="HRF20" s="87"/>
      <c r="HRG20" s="87"/>
      <c r="HRH20" s="87"/>
      <c r="HRI20" s="87"/>
      <c r="HRJ20" s="87"/>
      <c r="HRK20" s="87"/>
      <c r="HRL20" s="87"/>
      <c r="HRM20" s="87"/>
      <c r="HRN20" s="87"/>
      <c r="HRO20" s="87"/>
      <c r="HRP20" s="87"/>
      <c r="HRQ20" s="87"/>
      <c r="HRR20" s="87"/>
      <c r="HRS20" s="87"/>
      <c r="HRT20" s="87"/>
      <c r="HRU20" s="87"/>
      <c r="HRV20" s="87"/>
      <c r="HRW20" s="87"/>
      <c r="HRX20" s="87"/>
      <c r="HRY20" s="87"/>
      <c r="HRZ20" s="87"/>
      <c r="HSA20" s="87"/>
      <c r="HSB20" s="87"/>
      <c r="HSC20" s="87"/>
      <c r="HSD20" s="87"/>
      <c r="HSE20" s="87"/>
      <c r="HSF20" s="87"/>
      <c r="HSG20" s="87"/>
      <c r="HSH20" s="87"/>
      <c r="HSI20" s="87"/>
      <c r="HSJ20" s="87"/>
      <c r="HSK20" s="87"/>
      <c r="HSL20" s="87"/>
      <c r="HSM20" s="87"/>
      <c r="HSN20" s="87"/>
      <c r="HSO20" s="87"/>
      <c r="HSP20" s="87"/>
      <c r="HSQ20" s="87"/>
      <c r="HSR20" s="87"/>
      <c r="HSS20" s="87"/>
      <c r="HST20" s="87"/>
      <c r="HSU20" s="87"/>
      <c r="HSV20" s="87"/>
      <c r="HSW20" s="87"/>
      <c r="HSX20" s="87"/>
      <c r="HSY20" s="87"/>
      <c r="HSZ20" s="87"/>
      <c r="HTA20" s="87"/>
      <c r="HTB20" s="87"/>
      <c r="HTC20" s="87"/>
      <c r="HTD20" s="87"/>
      <c r="HTE20" s="87"/>
      <c r="HTF20" s="87"/>
      <c r="HTG20" s="87"/>
      <c r="HTH20" s="87"/>
      <c r="HTI20" s="87"/>
      <c r="HTJ20" s="87"/>
      <c r="HTK20" s="87"/>
      <c r="HTL20" s="87"/>
      <c r="HTM20" s="87"/>
      <c r="HTN20" s="87"/>
      <c r="HTO20" s="87"/>
      <c r="HTP20" s="87"/>
      <c r="HTQ20" s="87"/>
      <c r="HTR20" s="87"/>
      <c r="HTS20" s="87"/>
      <c r="HTT20" s="87"/>
      <c r="HTU20" s="87"/>
      <c r="HTV20" s="87"/>
      <c r="HTW20" s="87"/>
      <c r="HTX20" s="87"/>
      <c r="HTY20" s="87"/>
      <c r="HTZ20" s="87"/>
      <c r="HUA20" s="87"/>
      <c r="HUB20" s="87"/>
      <c r="HUC20" s="87"/>
      <c r="HUD20" s="87"/>
      <c r="HUE20" s="87"/>
      <c r="HUF20" s="87"/>
      <c r="HUG20" s="87"/>
      <c r="HUH20" s="87"/>
      <c r="HUI20" s="87"/>
      <c r="HUJ20" s="87"/>
      <c r="HUK20" s="87"/>
      <c r="HUL20" s="87"/>
      <c r="HUM20" s="87"/>
      <c r="HUN20" s="87"/>
      <c r="HUO20" s="87"/>
      <c r="HUP20" s="87"/>
      <c r="HUQ20" s="87"/>
      <c r="HUR20" s="87"/>
      <c r="HUS20" s="87"/>
      <c r="HUT20" s="87"/>
      <c r="HUU20" s="87"/>
      <c r="HUV20" s="87"/>
      <c r="HUW20" s="87"/>
      <c r="HUX20" s="87"/>
      <c r="HUY20" s="87"/>
      <c r="HUZ20" s="87"/>
      <c r="HVA20" s="87"/>
      <c r="HVB20" s="87"/>
      <c r="HVC20" s="87"/>
      <c r="HVD20" s="87"/>
      <c r="HVE20" s="87"/>
      <c r="HVF20" s="87"/>
      <c r="HVG20" s="87"/>
      <c r="HVH20" s="87"/>
      <c r="HVI20" s="87"/>
      <c r="HVJ20" s="87"/>
      <c r="HVK20" s="87"/>
      <c r="HVL20" s="87"/>
      <c r="HVM20" s="87"/>
      <c r="HVN20" s="87"/>
      <c r="HVO20" s="87"/>
      <c r="HVP20" s="87"/>
      <c r="HVQ20" s="87"/>
      <c r="HVR20" s="87"/>
      <c r="HVS20" s="87"/>
      <c r="HVT20" s="87"/>
      <c r="HVU20" s="87"/>
      <c r="HVV20" s="87"/>
      <c r="HVW20" s="87"/>
      <c r="HVX20" s="87"/>
      <c r="HVY20" s="87"/>
      <c r="HVZ20" s="87"/>
      <c r="HWA20" s="87"/>
      <c r="HWB20" s="87"/>
      <c r="HWC20" s="87"/>
      <c r="HWD20" s="87"/>
      <c r="HWE20" s="87"/>
      <c r="HWF20" s="87"/>
      <c r="HWG20" s="87"/>
      <c r="HWH20" s="87"/>
      <c r="HWI20" s="87"/>
      <c r="HWJ20" s="87"/>
      <c r="HWK20" s="87"/>
      <c r="HWL20" s="87"/>
      <c r="HWM20" s="87"/>
      <c r="HWN20" s="87"/>
      <c r="HWO20" s="87"/>
      <c r="HWP20" s="87"/>
      <c r="HWQ20" s="87"/>
      <c r="HWR20" s="87"/>
      <c r="HWS20" s="87"/>
      <c r="HWT20" s="87"/>
      <c r="HWU20" s="87"/>
      <c r="HWV20" s="87"/>
      <c r="HWW20" s="87"/>
      <c r="HWX20" s="87"/>
      <c r="HWY20" s="87"/>
      <c r="HWZ20" s="87"/>
      <c r="HXA20" s="87"/>
      <c r="HXB20" s="87"/>
      <c r="HXC20" s="87"/>
      <c r="HXD20" s="87"/>
      <c r="HXE20" s="87"/>
      <c r="HXF20" s="87"/>
      <c r="HXG20" s="87"/>
      <c r="HXH20" s="87"/>
      <c r="HXI20" s="87"/>
      <c r="HXJ20" s="87"/>
      <c r="HXK20" s="87"/>
      <c r="HXL20" s="87"/>
      <c r="HXM20" s="87"/>
      <c r="HXN20" s="87"/>
      <c r="HXO20" s="87"/>
      <c r="HXP20" s="87"/>
      <c r="HXQ20" s="87"/>
      <c r="HXR20" s="87"/>
      <c r="HXS20" s="87"/>
      <c r="HXT20" s="87"/>
      <c r="HXU20" s="87"/>
      <c r="HXV20" s="87"/>
      <c r="HXW20" s="87"/>
      <c r="HXX20" s="87"/>
      <c r="HXY20" s="87"/>
      <c r="HXZ20" s="87"/>
      <c r="HYA20" s="87"/>
      <c r="HYB20" s="87"/>
      <c r="HYC20" s="87"/>
      <c r="HYD20" s="87"/>
      <c r="HYE20" s="87"/>
      <c r="HYF20" s="87"/>
      <c r="HYG20" s="87"/>
      <c r="HYH20" s="87"/>
      <c r="HYI20" s="87"/>
      <c r="HYJ20" s="87"/>
      <c r="HYK20" s="87"/>
      <c r="HYL20" s="87"/>
      <c r="HYM20" s="87"/>
      <c r="HYN20" s="87"/>
      <c r="HYO20" s="87"/>
      <c r="HYP20" s="87"/>
      <c r="HYQ20" s="87"/>
      <c r="HYR20" s="87"/>
      <c r="HYS20" s="87"/>
      <c r="HYT20" s="87"/>
      <c r="HYU20" s="87"/>
      <c r="HYV20" s="87"/>
      <c r="HYW20" s="87"/>
      <c r="HYX20" s="87"/>
      <c r="HYY20" s="87"/>
      <c r="HYZ20" s="87"/>
      <c r="HZA20" s="87"/>
      <c r="HZB20" s="87"/>
      <c r="HZC20" s="87"/>
      <c r="HZD20" s="87"/>
      <c r="HZE20" s="87"/>
      <c r="HZF20" s="87"/>
      <c r="HZG20" s="87"/>
      <c r="HZH20" s="87"/>
      <c r="HZI20" s="87"/>
      <c r="HZJ20" s="87"/>
      <c r="HZK20" s="87"/>
      <c r="HZL20" s="87"/>
      <c r="HZM20" s="87"/>
      <c r="HZN20" s="87"/>
      <c r="HZO20" s="87"/>
      <c r="HZP20" s="87"/>
      <c r="HZQ20" s="87"/>
      <c r="HZR20" s="87"/>
      <c r="HZS20" s="87"/>
      <c r="HZT20" s="87"/>
      <c r="HZU20" s="87"/>
      <c r="HZV20" s="87"/>
      <c r="HZW20" s="87"/>
      <c r="HZX20" s="87"/>
      <c r="HZY20" s="87"/>
      <c r="HZZ20" s="87"/>
      <c r="IAA20" s="87"/>
      <c r="IAB20" s="87"/>
      <c r="IAC20" s="87"/>
      <c r="IAD20" s="87"/>
      <c r="IAE20" s="87"/>
      <c r="IAF20" s="87"/>
      <c r="IAG20" s="87"/>
      <c r="IAH20" s="87"/>
      <c r="IAI20" s="87"/>
      <c r="IAJ20" s="87"/>
      <c r="IAK20" s="87"/>
      <c r="IAL20" s="87"/>
      <c r="IAM20" s="87"/>
      <c r="IAN20" s="87"/>
      <c r="IAO20" s="87"/>
      <c r="IAP20" s="87"/>
      <c r="IAQ20" s="87"/>
      <c r="IAR20" s="87"/>
      <c r="IAS20" s="87"/>
      <c r="IAT20" s="87"/>
      <c r="IAU20" s="87"/>
      <c r="IAV20" s="87"/>
      <c r="IAW20" s="87"/>
      <c r="IAX20" s="87"/>
      <c r="IAY20" s="87"/>
      <c r="IAZ20" s="87"/>
      <c r="IBA20" s="87"/>
      <c r="IBB20" s="87"/>
      <c r="IBC20" s="87"/>
      <c r="IBD20" s="87"/>
      <c r="IBE20" s="87"/>
      <c r="IBF20" s="87"/>
      <c r="IBG20" s="87"/>
      <c r="IBH20" s="87"/>
      <c r="IBI20" s="87"/>
      <c r="IBJ20" s="87"/>
      <c r="IBK20" s="87"/>
      <c r="IBL20" s="87"/>
      <c r="IBM20" s="87"/>
      <c r="IBN20" s="87"/>
      <c r="IBO20" s="87"/>
      <c r="IBP20" s="87"/>
      <c r="IBQ20" s="87"/>
      <c r="IBR20" s="87"/>
      <c r="IBS20" s="87"/>
      <c r="IBT20" s="87"/>
      <c r="IBU20" s="87"/>
      <c r="IBV20" s="87"/>
      <c r="IBW20" s="87"/>
      <c r="IBX20" s="87"/>
      <c r="IBY20" s="87"/>
      <c r="IBZ20" s="87"/>
      <c r="ICA20" s="87"/>
      <c r="ICB20" s="87"/>
      <c r="ICC20" s="87"/>
      <c r="ICD20" s="87"/>
      <c r="ICE20" s="87"/>
      <c r="ICF20" s="87"/>
      <c r="ICG20" s="87"/>
      <c r="ICH20" s="87"/>
      <c r="ICI20" s="87"/>
      <c r="ICJ20" s="87"/>
      <c r="ICK20" s="87"/>
      <c r="ICL20" s="87"/>
      <c r="ICM20" s="87"/>
      <c r="ICN20" s="87"/>
      <c r="ICO20" s="87"/>
      <c r="ICP20" s="87"/>
      <c r="ICQ20" s="87"/>
      <c r="ICR20" s="87"/>
      <c r="ICS20" s="87"/>
      <c r="ICT20" s="87"/>
      <c r="ICU20" s="87"/>
      <c r="ICV20" s="87"/>
      <c r="ICW20" s="87"/>
      <c r="ICX20" s="87"/>
      <c r="ICY20" s="87"/>
      <c r="ICZ20" s="87"/>
      <c r="IDA20" s="87"/>
      <c r="IDB20" s="87"/>
      <c r="IDC20" s="87"/>
      <c r="IDD20" s="87"/>
      <c r="IDE20" s="87"/>
      <c r="IDF20" s="87"/>
      <c r="IDG20" s="87"/>
      <c r="IDH20" s="87"/>
      <c r="IDI20" s="87"/>
      <c r="IDJ20" s="87"/>
      <c r="IDK20" s="87"/>
      <c r="IDL20" s="87"/>
      <c r="IDM20" s="87"/>
      <c r="IDN20" s="87"/>
      <c r="IDO20" s="87"/>
      <c r="IDP20" s="87"/>
      <c r="IDQ20" s="87"/>
      <c r="IDR20" s="87"/>
      <c r="IDS20" s="87"/>
      <c r="IDT20" s="87"/>
      <c r="IDU20" s="87"/>
      <c r="IDV20" s="87"/>
      <c r="IDW20" s="87"/>
      <c r="IDX20" s="87"/>
      <c r="IDY20" s="87"/>
      <c r="IDZ20" s="87"/>
      <c r="IEA20" s="87"/>
      <c r="IEB20" s="87"/>
      <c r="IEC20" s="87"/>
      <c r="IED20" s="87"/>
      <c r="IEE20" s="87"/>
      <c r="IEF20" s="87"/>
      <c r="IEG20" s="87"/>
      <c r="IEH20" s="87"/>
      <c r="IEI20" s="87"/>
      <c r="IEJ20" s="87"/>
      <c r="IEK20" s="87"/>
      <c r="IEL20" s="87"/>
      <c r="IEM20" s="87"/>
      <c r="IEN20" s="87"/>
      <c r="IEO20" s="87"/>
      <c r="IEP20" s="87"/>
      <c r="IEQ20" s="87"/>
      <c r="IER20" s="87"/>
      <c r="IES20" s="87"/>
      <c r="IET20" s="87"/>
      <c r="IEU20" s="87"/>
      <c r="IEV20" s="87"/>
      <c r="IEW20" s="87"/>
      <c r="IEX20" s="87"/>
      <c r="IEY20" s="87"/>
      <c r="IEZ20" s="87"/>
      <c r="IFA20" s="87"/>
      <c r="IFB20" s="87"/>
      <c r="IFC20" s="87"/>
      <c r="IFD20" s="87"/>
      <c r="IFE20" s="87"/>
      <c r="IFF20" s="87"/>
      <c r="IFG20" s="87"/>
      <c r="IFH20" s="87"/>
      <c r="IFI20" s="87"/>
      <c r="IFJ20" s="87"/>
      <c r="IFK20" s="87"/>
      <c r="IFL20" s="87"/>
      <c r="IFM20" s="87"/>
      <c r="IFN20" s="87"/>
      <c r="IFO20" s="87"/>
      <c r="IFP20" s="87"/>
      <c r="IFQ20" s="87"/>
      <c r="IFR20" s="87"/>
      <c r="IFS20" s="87"/>
      <c r="IFT20" s="87"/>
      <c r="IFU20" s="87"/>
      <c r="IFV20" s="87"/>
      <c r="IFW20" s="87"/>
      <c r="IFX20" s="87"/>
      <c r="IFY20" s="87"/>
      <c r="IFZ20" s="87"/>
      <c r="IGA20" s="87"/>
      <c r="IGB20" s="87"/>
      <c r="IGC20" s="87"/>
      <c r="IGD20" s="87"/>
      <c r="IGE20" s="87"/>
      <c r="IGF20" s="87"/>
      <c r="IGG20" s="87"/>
      <c r="IGH20" s="87"/>
      <c r="IGI20" s="87"/>
      <c r="IGJ20" s="87"/>
      <c r="IGK20" s="87"/>
      <c r="IGL20" s="87"/>
      <c r="IGM20" s="87"/>
      <c r="IGN20" s="87"/>
      <c r="IGO20" s="87"/>
      <c r="IGP20" s="87"/>
      <c r="IGQ20" s="87"/>
      <c r="IGR20" s="87"/>
      <c r="IGS20" s="87"/>
      <c r="IGT20" s="87"/>
      <c r="IGU20" s="87"/>
      <c r="IGV20" s="87"/>
      <c r="IGW20" s="87"/>
      <c r="IGX20" s="87"/>
      <c r="IGY20" s="87"/>
      <c r="IGZ20" s="87"/>
      <c r="IHA20" s="87"/>
      <c r="IHB20" s="87"/>
      <c r="IHC20" s="87"/>
      <c r="IHD20" s="87"/>
      <c r="IHE20" s="87"/>
      <c r="IHF20" s="87"/>
      <c r="IHG20" s="87"/>
      <c r="IHH20" s="87"/>
      <c r="IHI20" s="87"/>
      <c r="IHJ20" s="87"/>
      <c r="IHK20" s="87"/>
      <c r="IHL20" s="87"/>
      <c r="IHM20" s="87"/>
      <c r="IHN20" s="87"/>
      <c r="IHO20" s="87"/>
      <c r="IHP20" s="87"/>
      <c r="IHQ20" s="87"/>
      <c r="IHR20" s="87"/>
      <c r="IHS20" s="87"/>
      <c r="IHT20" s="87"/>
      <c r="IHU20" s="87"/>
      <c r="IHV20" s="87"/>
      <c r="IHW20" s="87"/>
      <c r="IHX20" s="87"/>
      <c r="IHY20" s="87"/>
      <c r="IHZ20" s="87"/>
      <c r="IIA20" s="87"/>
      <c r="IIB20" s="87"/>
      <c r="IIC20" s="87"/>
      <c r="IID20" s="87"/>
      <c r="IIE20" s="87"/>
      <c r="IIF20" s="87"/>
      <c r="IIG20" s="87"/>
      <c r="IIH20" s="87"/>
      <c r="III20" s="87"/>
      <c r="IIJ20" s="87"/>
      <c r="IIK20" s="87"/>
      <c r="IIL20" s="87"/>
      <c r="IIM20" s="87"/>
      <c r="IIN20" s="87"/>
      <c r="IIO20" s="87"/>
      <c r="IIP20" s="87"/>
      <c r="IIQ20" s="87"/>
      <c r="IIR20" s="87"/>
      <c r="IIS20" s="87"/>
      <c r="IIT20" s="87"/>
      <c r="IIU20" s="87"/>
      <c r="IIV20" s="87"/>
      <c r="IIW20" s="87"/>
      <c r="IIX20" s="87"/>
      <c r="IIY20" s="87"/>
      <c r="IIZ20" s="87"/>
      <c r="IJA20" s="87"/>
      <c r="IJB20" s="87"/>
      <c r="IJC20" s="87"/>
      <c r="IJD20" s="87"/>
      <c r="IJE20" s="87"/>
      <c r="IJF20" s="87"/>
      <c r="IJG20" s="87"/>
      <c r="IJH20" s="87"/>
      <c r="IJI20" s="87"/>
      <c r="IJJ20" s="87"/>
      <c r="IJK20" s="87"/>
      <c r="IJL20" s="87"/>
      <c r="IJM20" s="87"/>
      <c r="IJN20" s="87"/>
      <c r="IJO20" s="87"/>
      <c r="IJP20" s="87"/>
      <c r="IJQ20" s="87"/>
      <c r="IJR20" s="87"/>
      <c r="IJS20" s="87"/>
      <c r="IJT20" s="87"/>
      <c r="IJU20" s="87"/>
      <c r="IJV20" s="87"/>
      <c r="IJW20" s="87"/>
      <c r="IJX20" s="87"/>
      <c r="IJY20" s="87"/>
      <c r="IJZ20" s="87"/>
      <c r="IKA20" s="87"/>
      <c r="IKB20" s="87"/>
      <c r="IKC20" s="87"/>
      <c r="IKD20" s="87"/>
      <c r="IKE20" s="87"/>
      <c r="IKF20" s="87"/>
      <c r="IKG20" s="87"/>
      <c r="IKH20" s="87"/>
      <c r="IKI20" s="87"/>
      <c r="IKJ20" s="87"/>
      <c r="IKK20" s="87"/>
      <c r="IKL20" s="87"/>
      <c r="IKM20" s="87"/>
      <c r="IKN20" s="87"/>
      <c r="IKO20" s="87"/>
      <c r="IKP20" s="87"/>
      <c r="IKQ20" s="87"/>
      <c r="IKR20" s="87"/>
      <c r="IKS20" s="87"/>
      <c r="IKT20" s="87"/>
      <c r="IKU20" s="87"/>
      <c r="IKV20" s="87"/>
      <c r="IKW20" s="87"/>
      <c r="IKX20" s="87"/>
      <c r="IKY20" s="87"/>
      <c r="IKZ20" s="87"/>
      <c r="ILA20" s="87"/>
      <c r="ILB20" s="87"/>
      <c r="ILC20" s="87"/>
      <c r="ILD20" s="87"/>
      <c r="ILE20" s="87"/>
      <c r="ILF20" s="87"/>
      <c r="ILG20" s="87"/>
      <c r="ILH20" s="87"/>
      <c r="ILI20" s="87"/>
      <c r="ILJ20" s="87"/>
      <c r="ILK20" s="87"/>
      <c r="ILL20" s="87"/>
      <c r="ILM20" s="87"/>
      <c r="ILN20" s="87"/>
      <c r="ILO20" s="87"/>
      <c r="ILP20" s="87"/>
      <c r="ILQ20" s="87"/>
      <c r="ILR20" s="87"/>
      <c r="ILS20" s="87"/>
      <c r="ILT20" s="87"/>
      <c r="ILU20" s="87"/>
      <c r="ILV20" s="87"/>
      <c r="ILW20" s="87"/>
      <c r="ILX20" s="87"/>
      <c r="ILY20" s="87"/>
      <c r="ILZ20" s="87"/>
      <c r="IMA20" s="87"/>
      <c r="IMB20" s="87"/>
      <c r="IMC20" s="87"/>
      <c r="IMD20" s="87"/>
      <c r="IME20" s="87"/>
      <c r="IMF20" s="87"/>
      <c r="IMG20" s="87"/>
      <c r="IMH20" s="87"/>
      <c r="IMI20" s="87"/>
      <c r="IMJ20" s="87"/>
      <c r="IMK20" s="87"/>
      <c r="IML20" s="87"/>
      <c r="IMM20" s="87"/>
      <c r="IMN20" s="87"/>
      <c r="IMO20" s="87"/>
      <c r="IMP20" s="87"/>
      <c r="IMQ20" s="87"/>
      <c r="IMR20" s="87"/>
      <c r="IMS20" s="87"/>
      <c r="IMT20" s="87"/>
      <c r="IMU20" s="87"/>
      <c r="IMV20" s="87"/>
      <c r="IMW20" s="87"/>
      <c r="IMX20" s="87"/>
      <c r="IMY20" s="87"/>
      <c r="IMZ20" s="87"/>
      <c r="INA20" s="87"/>
      <c r="INB20" s="87"/>
      <c r="INC20" s="87"/>
      <c r="IND20" s="87"/>
      <c r="INE20" s="87"/>
      <c r="INF20" s="87"/>
      <c r="ING20" s="87"/>
      <c r="INH20" s="87"/>
      <c r="INI20" s="87"/>
      <c r="INJ20" s="87"/>
      <c r="INK20" s="87"/>
      <c r="INL20" s="87"/>
      <c r="INM20" s="87"/>
      <c r="INN20" s="87"/>
      <c r="INO20" s="87"/>
      <c r="INP20" s="87"/>
      <c r="INQ20" s="87"/>
      <c r="INR20" s="87"/>
      <c r="INS20" s="87"/>
      <c r="INT20" s="87"/>
      <c r="INU20" s="87"/>
      <c r="INV20" s="87"/>
      <c r="INW20" s="87"/>
      <c r="INX20" s="87"/>
      <c r="INY20" s="87"/>
      <c r="INZ20" s="87"/>
      <c r="IOA20" s="87"/>
      <c r="IOB20" s="87"/>
      <c r="IOC20" s="87"/>
      <c r="IOD20" s="87"/>
      <c r="IOE20" s="87"/>
      <c r="IOF20" s="87"/>
      <c r="IOG20" s="87"/>
      <c r="IOH20" s="87"/>
      <c r="IOI20" s="87"/>
      <c r="IOJ20" s="87"/>
      <c r="IOK20" s="87"/>
      <c r="IOL20" s="87"/>
      <c r="IOM20" s="87"/>
      <c r="ION20" s="87"/>
      <c r="IOO20" s="87"/>
      <c r="IOP20" s="87"/>
      <c r="IOQ20" s="87"/>
      <c r="IOR20" s="87"/>
      <c r="IOS20" s="87"/>
      <c r="IOT20" s="87"/>
      <c r="IOU20" s="87"/>
      <c r="IOV20" s="87"/>
      <c r="IOW20" s="87"/>
      <c r="IOX20" s="87"/>
      <c r="IOY20" s="87"/>
      <c r="IOZ20" s="87"/>
      <c r="IPA20" s="87"/>
      <c r="IPB20" s="87"/>
      <c r="IPC20" s="87"/>
      <c r="IPD20" s="87"/>
      <c r="IPE20" s="87"/>
      <c r="IPF20" s="87"/>
      <c r="IPG20" s="87"/>
      <c r="IPH20" s="87"/>
      <c r="IPI20" s="87"/>
      <c r="IPJ20" s="87"/>
      <c r="IPK20" s="87"/>
      <c r="IPL20" s="87"/>
      <c r="IPM20" s="87"/>
      <c r="IPN20" s="87"/>
      <c r="IPO20" s="87"/>
      <c r="IPP20" s="87"/>
      <c r="IPQ20" s="87"/>
      <c r="IPR20" s="87"/>
      <c r="IPS20" s="87"/>
      <c r="IPT20" s="87"/>
      <c r="IPU20" s="87"/>
      <c r="IPV20" s="87"/>
      <c r="IPW20" s="87"/>
      <c r="IPX20" s="87"/>
      <c r="IPY20" s="87"/>
      <c r="IPZ20" s="87"/>
      <c r="IQA20" s="87"/>
      <c r="IQB20" s="87"/>
      <c r="IQC20" s="87"/>
      <c r="IQD20" s="87"/>
      <c r="IQE20" s="87"/>
      <c r="IQF20" s="87"/>
      <c r="IQG20" s="87"/>
      <c r="IQH20" s="87"/>
      <c r="IQI20" s="87"/>
      <c r="IQJ20" s="87"/>
      <c r="IQK20" s="87"/>
      <c r="IQL20" s="87"/>
      <c r="IQM20" s="87"/>
      <c r="IQN20" s="87"/>
      <c r="IQO20" s="87"/>
      <c r="IQP20" s="87"/>
      <c r="IQQ20" s="87"/>
      <c r="IQR20" s="87"/>
      <c r="IQS20" s="87"/>
      <c r="IQT20" s="87"/>
      <c r="IQU20" s="87"/>
      <c r="IQV20" s="87"/>
      <c r="IQW20" s="87"/>
      <c r="IQX20" s="87"/>
      <c r="IQY20" s="87"/>
      <c r="IQZ20" s="87"/>
      <c r="IRA20" s="87"/>
      <c r="IRB20" s="87"/>
      <c r="IRC20" s="87"/>
      <c r="IRD20" s="87"/>
      <c r="IRE20" s="87"/>
      <c r="IRF20" s="87"/>
      <c r="IRG20" s="87"/>
      <c r="IRH20" s="87"/>
      <c r="IRI20" s="87"/>
      <c r="IRJ20" s="87"/>
      <c r="IRK20" s="87"/>
      <c r="IRL20" s="87"/>
      <c r="IRM20" s="87"/>
      <c r="IRN20" s="87"/>
      <c r="IRO20" s="87"/>
      <c r="IRP20" s="87"/>
      <c r="IRQ20" s="87"/>
      <c r="IRR20" s="87"/>
      <c r="IRS20" s="87"/>
      <c r="IRT20" s="87"/>
      <c r="IRU20" s="87"/>
      <c r="IRV20" s="87"/>
      <c r="IRW20" s="87"/>
      <c r="IRX20" s="87"/>
      <c r="IRY20" s="87"/>
      <c r="IRZ20" s="87"/>
      <c r="ISA20" s="87"/>
      <c r="ISB20" s="87"/>
      <c r="ISC20" s="87"/>
      <c r="ISD20" s="87"/>
      <c r="ISE20" s="87"/>
      <c r="ISF20" s="87"/>
      <c r="ISG20" s="87"/>
      <c r="ISH20" s="87"/>
      <c r="ISI20" s="87"/>
      <c r="ISJ20" s="87"/>
      <c r="ISK20" s="87"/>
      <c r="ISL20" s="87"/>
      <c r="ISM20" s="87"/>
      <c r="ISN20" s="87"/>
      <c r="ISO20" s="87"/>
      <c r="ISP20" s="87"/>
      <c r="ISQ20" s="87"/>
      <c r="ISR20" s="87"/>
      <c r="ISS20" s="87"/>
      <c r="IST20" s="87"/>
      <c r="ISU20" s="87"/>
      <c r="ISV20" s="87"/>
      <c r="ISW20" s="87"/>
      <c r="ISX20" s="87"/>
      <c r="ISY20" s="87"/>
      <c r="ISZ20" s="87"/>
      <c r="ITA20" s="87"/>
      <c r="ITB20" s="87"/>
      <c r="ITC20" s="87"/>
      <c r="ITD20" s="87"/>
      <c r="ITE20" s="87"/>
      <c r="ITF20" s="87"/>
      <c r="ITG20" s="87"/>
      <c r="ITH20" s="87"/>
      <c r="ITI20" s="87"/>
      <c r="ITJ20" s="87"/>
      <c r="ITK20" s="87"/>
      <c r="ITL20" s="87"/>
      <c r="ITM20" s="87"/>
      <c r="ITN20" s="87"/>
      <c r="ITO20" s="87"/>
      <c r="ITP20" s="87"/>
      <c r="ITQ20" s="87"/>
      <c r="ITR20" s="87"/>
      <c r="ITS20" s="87"/>
      <c r="ITT20" s="87"/>
      <c r="ITU20" s="87"/>
      <c r="ITV20" s="87"/>
      <c r="ITW20" s="87"/>
      <c r="ITX20" s="87"/>
      <c r="ITY20" s="87"/>
      <c r="ITZ20" s="87"/>
      <c r="IUA20" s="87"/>
      <c r="IUB20" s="87"/>
      <c r="IUC20" s="87"/>
      <c r="IUD20" s="87"/>
      <c r="IUE20" s="87"/>
      <c r="IUF20" s="87"/>
      <c r="IUG20" s="87"/>
      <c r="IUH20" s="87"/>
      <c r="IUI20" s="87"/>
      <c r="IUJ20" s="87"/>
      <c r="IUK20" s="87"/>
      <c r="IUL20" s="87"/>
      <c r="IUM20" s="87"/>
      <c r="IUN20" s="87"/>
      <c r="IUO20" s="87"/>
      <c r="IUP20" s="87"/>
      <c r="IUQ20" s="87"/>
      <c r="IUR20" s="87"/>
      <c r="IUS20" s="87"/>
      <c r="IUT20" s="87"/>
      <c r="IUU20" s="87"/>
      <c r="IUV20" s="87"/>
      <c r="IUW20" s="87"/>
      <c r="IUX20" s="87"/>
      <c r="IUY20" s="87"/>
      <c r="IUZ20" s="87"/>
      <c r="IVA20" s="87"/>
      <c r="IVB20" s="87"/>
      <c r="IVC20" s="87"/>
      <c r="IVD20" s="87"/>
      <c r="IVE20" s="87"/>
      <c r="IVF20" s="87"/>
      <c r="IVG20" s="87"/>
      <c r="IVH20" s="87"/>
      <c r="IVI20" s="87"/>
      <c r="IVJ20" s="87"/>
      <c r="IVK20" s="87"/>
      <c r="IVL20" s="87"/>
      <c r="IVM20" s="87"/>
      <c r="IVN20" s="87"/>
      <c r="IVO20" s="87"/>
      <c r="IVP20" s="87"/>
      <c r="IVQ20" s="87"/>
      <c r="IVR20" s="87"/>
      <c r="IVS20" s="87"/>
      <c r="IVT20" s="87"/>
      <c r="IVU20" s="87"/>
      <c r="IVV20" s="87"/>
      <c r="IVW20" s="87"/>
      <c r="IVX20" s="87"/>
      <c r="IVY20" s="87"/>
      <c r="IVZ20" s="87"/>
      <c r="IWA20" s="87"/>
      <c r="IWB20" s="87"/>
      <c r="IWC20" s="87"/>
      <c r="IWD20" s="87"/>
      <c r="IWE20" s="87"/>
      <c r="IWF20" s="87"/>
      <c r="IWG20" s="87"/>
      <c r="IWH20" s="87"/>
      <c r="IWI20" s="87"/>
      <c r="IWJ20" s="87"/>
      <c r="IWK20" s="87"/>
      <c r="IWL20" s="87"/>
      <c r="IWM20" s="87"/>
      <c r="IWN20" s="87"/>
      <c r="IWO20" s="87"/>
      <c r="IWP20" s="87"/>
      <c r="IWQ20" s="87"/>
      <c r="IWR20" s="87"/>
      <c r="IWS20" s="87"/>
      <c r="IWT20" s="87"/>
      <c r="IWU20" s="87"/>
      <c r="IWV20" s="87"/>
      <c r="IWW20" s="87"/>
      <c r="IWX20" s="87"/>
      <c r="IWY20" s="87"/>
      <c r="IWZ20" s="87"/>
      <c r="IXA20" s="87"/>
      <c r="IXB20" s="87"/>
      <c r="IXC20" s="87"/>
      <c r="IXD20" s="87"/>
      <c r="IXE20" s="87"/>
      <c r="IXF20" s="87"/>
      <c r="IXG20" s="87"/>
      <c r="IXH20" s="87"/>
      <c r="IXI20" s="87"/>
      <c r="IXJ20" s="87"/>
      <c r="IXK20" s="87"/>
      <c r="IXL20" s="87"/>
      <c r="IXM20" s="87"/>
      <c r="IXN20" s="87"/>
      <c r="IXO20" s="87"/>
      <c r="IXP20" s="87"/>
      <c r="IXQ20" s="87"/>
      <c r="IXR20" s="87"/>
      <c r="IXS20" s="87"/>
      <c r="IXT20" s="87"/>
      <c r="IXU20" s="87"/>
      <c r="IXV20" s="87"/>
      <c r="IXW20" s="87"/>
      <c r="IXX20" s="87"/>
      <c r="IXY20" s="87"/>
      <c r="IXZ20" s="87"/>
      <c r="IYA20" s="87"/>
      <c r="IYB20" s="87"/>
      <c r="IYC20" s="87"/>
      <c r="IYD20" s="87"/>
      <c r="IYE20" s="87"/>
      <c r="IYF20" s="87"/>
      <c r="IYG20" s="87"/>
      <c r="IYH20" s="87"/>
      <c r="IYI20" s="87"/>
      <c r="IYJ20" s="87"/>
      <c r="IYK20" s="87"/>
      <c r="IYL20" s="87"/>
      <c r="IYM20" s="87"/>
      <c r="IYN20" s="87"/>
      <c r="IYO20" s="87"/>
      <c r="IYP20" s="87"/>
      <c r="IYQ20" s="87"/>
      <c r="IYR20" s="87"/>
      <c r="IYS20" s="87"/>
      <c r="IYT20" s="87"/>
      <c r="IYU20" s="87"/>
      <c r="IYV20" s="87"/>
      <c r="IYW20" s="87"/>
      <c r="IYX20" s="87"/>
      <c r="IYY20" s="87"/>
      <c r="IYZ20" s="87"/>
      <c r="IZA20" s="87"/>
      <c r="IZB20" s="87"/>
      <c r="IZC20" s="87"/>
      <c r="IZD20" s="87"/>
      <c r="IZE20" s="87"/>
      <c r="IZF20" s="87"/>
      <c r="IZG20" s="87"/>
      <c r="IZH20" s="87"/>
      <c r="IZI20" s="87"/>
      <c r="IZJ20" s="87"/>
      <c r="IZK20" s="87"/>
      <c r="IZL20" s="87"/>
      <c r="IZM20" s="87"/>
      <c r="IZN20" s="87"/>
      <c r="IZO20" s="87"/>
      <c r="IZP20" s="87"/>
      <c r="IZQ20" s="87"/>
      <c r="IZR20" s="87"/>
      <c r="IZS20" s="87"/>
      <c r="IZT20" s="87"/>
      <c r="IZU20" s="87"/>
      <c r="IZV20" s="87"/>
      <c r="IZW20" s="87"/>
      <c r="IZX20" s="87"/>
      <c r="IZY20" s="87"/>
      <c r="IZZ20" s="87"/>
      <c r="JAA20" s="87"/>
      <c r="JAB20" s="87"/>
      <c r="JAC20" s="87"/>
      <c r="JAD20" s="87"/>
      <c r="JAE20" s="87"/>
      <c r="JAF20" s="87"/>
      <c r="JAG20" s="87"/>
      <c r="JAH20" s="87"/>
      <c r="JAI20" s="87"/>
      <c r="JAJ20" s="87"/>
      <c r="JAK20" s="87"/>
      <c r="JAL20" s="87"/>
      <c r="JAM20" s="87"/>
      <c r="JAN20" s="87"/>
      <c r="JAO20" s="87"/>
      <c r="JAP20" s="87"/>
      <c r="JAQ20" s="87"/>
      <c r="JAR20" s="87"/>
      <c r="JAS20" s="87"/>
      <c r="JAT20" s="87"/>
      <c r="JAU20" s="87"/>
      <c r="JAV20" s="87"/>
      <c r="JAW20" s="87"/>
      <c r="JAX20" s="87"/>
      <c r="JAY20" s="87"/>
      <c r="JAZ20" s="87"/>
      <c r="JBA20" s="87"/>
      <c r="JBB20" s="87"/>
      <c r="JBC20" s="87"/>
      <c r="JBD20" s="87"/>
      <c r="JBE20" s="87"/>
      <c r="JBF20" s="87"/>
      <c r="JBG20" s="87"/>
      <c r="JBH20" s="87"/>
      <c r="JBI20" s="87"/>
      <c r="JBJ20" s="87"/>
      <c r="JBK20" s="87"/>
      <c r="JBL20" s="87"/>
      <c r="JBM20" s="87"/>
      <c r="JBN20" s="87"/>
      <c r="JBO20" s="87"/>
      <c r="JBP20" s="87"/>
      <c r="JBQ20" s="87"/>
      <c r="JBR20" s="87"/>
      <c r="JBS20" s="87"/>
      <c r="JBT20" s="87"/>
      <c r="JBU20" s="87"/>
      <c r="JBV20" s="87"/>
      <c r="JBW20" s="87"/>
      <c r="JBX20" s="87"/>
      <c r="JBY20" s="87"/>
      <c r="JBZ20" s="87"/>
      <c r="JCA20" s="87"/>
      <c r="JCB20" s="87"/>
      <c r="JCC20" s="87"/>
      <c r="JCD20" s="87"/>
      <c r="JCE20" s="87"/>
      <c r="JCF20" s="87"/>
      <c r="JCG20" s="87"/>
      <c r="JCH20" s="87"/>
      <c r="JCI20" s="87"/>
      <c r="JCJ20" s="87"/>
      <c r="JCK20" s="87"/>
      <c r="JCL20" s="87"/>
      <c r="JCM20" s="87"/>
      <c r="JCN20" s="87"/>
      <c r="JCO20" s="87"/>
      <c r="JCP20" s="87"/>
      <c r="JCQ20" s="87"/>
      <c r="JCR20" s="87"/>
      <c r="JCS20" s="87"/>
      <c r="JCT20" s="87"/>
      <c r="JCU20" s="87"/>
      <c r="JCV20" s="87"/>
      <c r="JCW20" s="87"/>
      <c r="JCX20" s="87"/>
      <c r="JCY20" s="87"/>
      <c r="JCZ20" s="87"/>
      <c r="JDA20" s="87"/>
      <c r="JDB20" s="87"/>
      <c r="JDC20" s="87"/>
      <c r="JDD20" s="87"/>
      <c r="JDE20" s="87"/>
      <c r="JDF20" s="87"/>
      <c r="JDG20" s="87"/>
      <c r="JDH20" s="87"/>
      <c r="JDI20" s="87"/>
      <c r="JDJ20" s="87"/>
      <c r="JDK20" s="87"/>
      <c r="JDL20" s="87"/>
      <c r="JDM20" s="87"/>
      <c r="JDN20" s="87"/>
      <c r="JDO20" s="87"/>
      <c r="JDP20" s="87"/>
      <c r="JDQ20" s="87"/>
      <c r="JDR20" s="87"/>
      <c r="JDS20" s="87"/>
      <c r="JDT20" s="87"/>
      <c r="JDU20" s="87"/>
      <c r="JDV20" s="87"/>
      <c r="JDW20" s="87"/>
      <c r="JDX20" s="87"/>
      <c r="JDY20" s="87"/>
      <c r="JDZ20" s="87"/>
      <c r="JEA20" s="87"/>
      <c r="JEB20" s="87"/>
      <c r="JEC20" s="87"/>
      <c r="JED20" s="87"/>
      <c r="JEE20" s="87"/>
      <c r="JEF20" s="87"/>
      <c r="JEG20" s="87"/>
      <c r="JEH20" s="87"/>
      <c r="JEI20" s="87"/>
      <c r="JEJ20" s="87"/>
      <c r="JEK20" s="87"/>
      <c r="JEL20" s="87"/>
      <c r="JEM20" s="87"/>
      <c r="JEN20" s="87"/>
      <c r="JEO20" s="87"/>
      <c r="JEP20" s="87"/>
      <c r="JEQ20" s="87"/>
      <c r="JER20" s="87"/>
      <c r="JES20" s="87"/>
      <c r="JET20" s="87"/>
      <c r="JEU20" s="87"/>
      <c r="JEV20" s="87"/>
      <c r="JEW20" s="87"/>
      <c r="JEX20" s="87"/>
      <c r="JEY20" s="87"/>
      <c r="JEZ20" s="87"/>
      <c r="JFA20" s="87"/>
      <c r="JFB20" s="87"/>
      <c r="JFC20" s="87"/>
      <c r="JFD20" s="87"/>
      <c r="JFE20" s="87"/>
      <c r="JFF20" s="87"/>
      <c r="JFG20" s="87"/>
      <c r="JFH20" s="87"/>
      <c r="JFI20" s="87"/>
      <c r="JFJ20" s="87"/>
      <c r="JFK20" s="87"/>
      <c r="JFL20" s="87"/>
      <c r="JFM20" s="87"/>
      <c r="JFN20" s="87"/>
      <c r="JFO20" s="87"/>
      <c r="JFP20" s="87"/>
      <c r="JFQ20" s="87"/>
      <c r="JFR20" s="87"/>
      <c r="JFS20" s="87"/>
      <c r="JFT20" s="87"/>
      <c r="JFU20" s="87"/>
      <c r="JFV20" s="87"/>
      <c r="JFW20" s="87"/>
      <c r="JFX20" s="87"/>
      <c r="JFY20" s="87"/>
      <c r="JFZ20" s="87"/>
      <c r="JGA20" s="87"/>
      <c r="JGB20" s="87"/>
      <c r="JGC20" s="87"/>
      <c r="JGD20" s="87"/>
      <c r="JGE20" s="87"/>
      <c r="JGF20" s="87"/>
      <c r="JGG20" s="87"/>
      <c r="JGH20" s="87"/>
      <c r="JGI20" s="87"/>
      <c r="JGJ20" s="87"/>
      <c r="JGK20" s="87"/>
      <c r="JGL20" s="87"/>
      <c r="JGM20" s="87"/>
      <c r="JGN20" s="87"/>
      <c r="JGO20" s="87"/>
      <c r="JGP20" s="87"/>
      <c r="JGQ20" s="87"/>
      <c r="JGR20" s="87"/>
      <c r="JGS20" s="87"/>
      <c r="JGT20" s="87"/>
      <c r="JGU20" s="87"/>
      <c r="JGV20" s="87"/>
      <c r="JGW20" s="87"/>
      <c r="JGX20" s="87"/>
      <c r="JGY20" s="87"/>
      <c r="JGZ20" s="87"/>
      <c r="JHA20" s="87"/>
      <c r="JHB20" s="87"/>
      <c r="JHC20" s="87"/>
      <c r="JHD20" s="87"/>
      <c r="JHE20" s="87"/>
      <c r="JHF20" s="87"/>
      <c r="JHG20" s="87"/>
      <c r="JHH20" s="87"/>
      <c r="JHI20" s="87"/>
      <c r="JHJ20" s="87"/>
      <c r="JHK20" s="87"/>
      <c r="JHL20" s="87"/>
      <c r="JHM20" s="87"/>
      <c r="JHN20" s="87"/>
      <c r="JHO20" s="87"/>
      <c r="JHP20" s="87"/>
      <c r="JHQ20" s="87"/>
      <c r="JHR20" s="87"/>
      <c r="JHS20" s="87"/>
      <c r="JHT20" s="87"/>
      <c r="JHU20" s="87"/>
      <c r="JHV20" s="87"/>
      <c r="JHW20" s="87"/>
      <c r="JHX20" s="87"/>
      <c r="JHY20" s="87"/>
      <c r="JHZ20" s="87"/>
      <c r="JIA20" s="87"/>
      <c r="JIB20" s="87"/>
      <c r="JIC20" s="87"/>
      <c r="JID20" s="87"/>
      <c r="JIE20" s="87"/>
      <c r="JIF20" s="87"/>
      <c r="JIG20" s="87"/>
      <c r="JIH20" s="87"/>
      <c r="JII20" s="87"/>
      <c r="JIJ20" s="87"/>
      <c r="JIK20" s="87"/>
      <c r="JIL20" s="87"/>
      <c r="JIM20" s="87"/>
      <c r="JIN20" s="87"/>
      <c r="JIO20" s="87"/>
      <c r="JIP20" s="87"/>
      <c r="JIQ20" s="87"/>
      <c r="JIR20" s="87"/>
      <c r="JIS20" s="87"/>
      <c r="JIT20" s="87"/>
      <c r="JIU20" s="87"/>
      <c r="JIV20" s="87"/>
      <c r="JIW20" s="87"/>
      <c r="JIX20" s="87"/>
      <c r="JIY20" s="87"/>
      <c r="JIZ20" s="87"/>
      <c r="JJA20" s="87"/>
      <c r="JJB20" s="87"/>
      <c r="JJC20" s="87"/>
      <c r="JJD20" s="87"/>
      <c r="JJE20" s="87"/>
      <c r="JJF20" s="87"/>
      <c r="JJG20" s="87"/>
      <c r="JJH20" s="87"/>
      <c r="JJI20" s="87"/>
      <c r="JJJ20" s="87"/>
      <c r="JJK20" s="87"/>
      <c r="JJL20" s="87"/>
      <c r="JJM20" s="87"/>
      <c r="JJN20" s="87"/>
      <c r="JJO20" s="87"/>
      <c r="JJP20" s="87"/>
      <c r="JJQ20" s="87"/>
      <c r="JJR20" s="87"/>
      <c r="JJS20" s="87"/>
      <c r="JJT20" s="87"/>
      <c r="JJU20" s="87"/>
      <c r="JJV20" s="87"/>
      <c r="JJW20" s="87"/>
      <c r="JJX20" s="87"/>
      <c r="JJY20" s="87"/>
      <c r="JJZ20" s="87"/>
      <c r="JKA20" s="87"/>
      <c r="JKB20" s="87"/>
      <c r="JKC20" s="87"/>
      <c r="JKD20" s="87"/>
      <c r="JKE20" s="87"/>
      <c r="JKF20" s="87"/>
      <c r="JKG20" s="87"/>
      <c r="JKH20" s="87"/>
      <c r="JKI20" s="87"/>
      <c r="JKJ20" s="87"/>
      <c r="JKK20" s="87"/>
      <c r="JKL20" s="87"/>
      <c r="JKM20" s="87"/>
      <c r="JKN20" s="87"/>
      <c r="JKO20" s="87"/>
      <c r="JKP20" s="87"/>
      <c r="JKQ20" s="87"/>
      <c r="JKR20" s="87"/>
      <c r="JKS20" s="87"/>
      <c r="JKT20" s="87"/>
      <c r="JKU20" s="87"/>
      <c r="JKV20" s="87"/>
      <c r="JKW20" s="87"/>
      <c r="JKX20" s="87"/>
      <c r="JKY20" s="87"/>
      <c r="JKZ20" s="87"/>
      <c r="JLA20" s="87"/>
      <c r="JLB20" s="87"/>
      <c r="JLC20" s="87"/>
      <c r="JLD20" s="87"/>
      <c r="JLE20" s="87"/>
      <c r="JLF20" s="87"/>
      <c r="JLG20" s="87"/>
      <c r="JLH20" s="87"/>
      <c r="JLI20" s="87"/>
      <c r="JLJ20" s="87"/>
      <c r="JLK20" s="87"/>
      <c r="JLL20" s="87"/>
      <c r="JLM20" s="87"/>
      <c r="JLN20" s="87"/>
      <c r="JLO20" s="87"/>
      <c r="JLP20" s="87"/>
      <c r="JLQ20" s="87"/>
      <c r="JLR20" s="87"/>
      <c r="JLS20" s="87"/>
      <c r="JLT20" s="87"/>
      <c r="JLU20" s="87"/>
      <c r="JLV20" s="87"/>
      <c r="JLW20" s="87"/>
      <c r="JLX20" s="87"/>
      <c r="JLY20" s="87"/>
      <c r="JLZ20" s="87"/>
      <c r="JMA20" s="87"/>
      <c r="JMB20" s="87"/>
      <c r="JMC20" s="87"/>
      <c r="JMD20" s="87"/>
      <c r="JME20" s="87"/>
      <c r="JMF20" s="87"/>
      <c r="JMG20" s="87"/>
      <c r="JMH20" s="87"/>
      <c r="JMI20" s="87"/>
      <c r="JMJ20" s="87"/>
      <c r="JMK20" s="87"/>
      <c r="JML20" s="87"/>
      <c r="JMM20" s="87"/>
      <c r="JMN20" s="87"/>
      <c r="JMO20" s="87"/>
      <c r="JMP20" s="87"/>
      <c r="JMQ20" s="87"/>
      <c r="JMR20" s="87"/>
      <c r="JMS20" s="87"/>
      <c r="JMT20" s="87"/>
      <c r="JMU20" s="87"/>
      <c r="JMV20" s="87"/>
      <c r="JMW20" s="87"/>
      <c r="JMX20" s="87"/>
      <c r="JMY20" s="87"/>
      <c r="JMZ20" s="87"/>
      <c r="JNA20" s="87"/>
      <c r="JNB20" s="87"/>
      <c r="JNC20" s="87"/>
      <c r="JND20" s="87"/>
      <c r="JNE20" s="87"/>
      <c r="JNF20" s="87"/>
      <c r="JNG20" s="87"/>
      <c r="JNH20" s="87"/>
      <c r="JNI20" s="87"/>
      <c r="JNJ20" s="87"/>
      <c r="JNK20" s="87"/>
      <c r="JNL20" s="87"/>
      <c r="JNM20" s="87"/>
      <c r="JNN20" s="87"/>
      <c r="JNO20" s="87"/>
      <c r="JNP20" s="87"/>
      <c r="JNQ20" s="87"/>
      <c r="JNR20" s="87"/>
      <c r="JNS20" s="87"/>
      <c r="JNT20" s="87"/>
      <c r="JNU20" s="87"/>
      <c r="JNV20" s="87"/>
      <c r="JNW20" s="87"/>
      <c r="JNX20" s="87"/>
      <c r="JNY20" s="87"/>
      <c r="JNZ20" s="87"/>
      <c r="JOA20" s="87"/>
      <c r="JOB20" s="87"/>
      <c r="JOC20" s="87"/>
      <c r="JOD20" s="87"/>
      <c r="JOE20" s="87"/>
      <c r="JOF20" s="87"/>
      <c r="JOG20" s="87"/>
      <c r="JOH20" s="87"/>
      <c r="JOI20" s="87"/>
      <c r="JOJ20" s="87"/>
      <c r="JOK20" s="87"/>
      <c r="JOL20" s="87"/>
      <c r="JOM20" s="87"/>
      <c r="JON20" s="87"/>
      <c r="JOO20" s="87"/>
      <c r="JOP20" s="87"/>
      <c r="JOQ20" s="87"/>
      <c r="JOR20" s="87"/>
      <c r="JOS20" s="87"/>
      <c r="JOT20" s="87"/>
      <c r="JOU20" s="87"/>
      <c r="JOV20" s="87"/>
      <c r="JOW20" s="87"/>
      <c r="JOX20" s="87"/>
      <c r="JOY20" s="87"/>
      <c r="JOZ20" s="87"/>
      <c r="JPA20" s="87"/>
      <c r="JPB20" s="87"/>
      <c r="JPC20" s="87"/>
      <c r="JPD20" s="87"/>
      <c r="JPE20" s="87"/>
      <c r="JPF20" s="87"/>
      <c r="JPG20" s="87"/>
      <c r="JPH20" s="87"/>
      <c r="JPI20" s="87"/>
      <c r="JPJ20" s="87"/>
      <c r="JPK20" s="87"/>
      <c r="JPL20" s="87"/>
      <c r="JPM20" s="87"/>
      <c r="JPN20" s="87"/>
      <c r="JPO20" s="87"/>
      <c r="JPP20" s="87"/>
      <c r="JPQ20" s="87"/>
      <c r="JPR20" s="87"/>
      <c r="JPS20" s="87"/>
      <c r="JPT20" s="87"/>
      <c r="JPU20" s="87"/>
      <c r="JPV20" s="87"/>
      <c r="JPW20" s="87"/>
      <c r="JPX20" s="87"/>
      <c r="JPY20" s="87"/>
      <c r="JPZ20" s="87"/>
      <c r="JQA20" s="87"/>
      <c r="JQB20" s="87"/>
      <c r="JQC20" s="87"/>
      <c r="JQD20" s="87"/>
      <c r="JQE20" s="87"/>
      <c r="JQF20" s="87"/>
      <c r="JQG20" s="87"/>
      <c r="JQH20" s="87"/>
      <c r="JQI20" s="87"/>
      <c r="JQJ20" s="87"/>
      <c r="JQK20" s="87"/>
      <c r="JQL20" s="87"/>
      <c r="JQM20" s="87"/>
      <c r="JQN20" s="87"/>
      <c r="JQO20" s="87"/>
      <c r="JQP20" s="87"/>
      <c r="JQQ20" s="87"/>
      <c r="JQR20" s="87"/>
      <c r="JQS20" s="87"/>
      <c r="JQT20" s="87"/>
      <c r="JQU20" s="87"/>
      <c r="JQV20" s="87"/>
      <c r="JQW20" s="87"/>
      <c r="JQX20" s="87"/>
      <c r="JQY20" s="87"/>
      <c r="JQZ20" s="87"/>
      <c r="JRA20" s="87"/>
      <c r="JRB20" s="87"/>
      <c r="JRC20" s="87"/>
      <c r="JRD20" s="87"/>
      <c r="JRE20" s="87"/>
      <c r="JRF20" s="87"/>
      <c r="JRG20" s="87"/>
      <c r="JRH20" s="87"/>
      <c r="JRI20" s="87"/>
      <c r="JRJ20" s="87"/>
      <c r="JRK20" s="87"/>
      <c r="JRL20" s="87"/>
      <c r="JRM20" s="87"/>
      <c r="JRN20" s="87"/>
      <c r="JRO20" s="87"/>
      <c r="JRP20" s="87"/>
      <c r="JRQ20" s="87"/>
      <c r="JRR20" s="87"/>
      <c r="JRS20" s="87"/>
      <c r="JRT20" s="87"/>
      <c r="JRU20" s="87"/>
      <c r="JRV20" s="87"/>
      <c r="JRW20" s="87"/>
      <c r="JRX20" s="87"/>
      <c r="JRY20" s="87"/>
      <c r="JRZ20" s="87"/>
      <c r="JSA20" s="87"/>
      <c r="JSB20" s="87"/>
      <c r="JSC20" s="87"/>
      <c r="JSD20" s="87"/>
      <c r="JSE20" s="87"/>
      <c r="JSF20" s="87"/>
      <c r="JSG20" s="87"/>
      <c r="JSH20" s="87"/>
      <c r="JSI20" s="87"/>
      <c r="JSJ20" s="87"/>
      <c r="JSK20" s="87"/>
      <c r="JSL20" s="87"/>
      <c r="JSM20" s="87"/>
      <c r="JSN20" s="87"/>
      <c r="JSO20" s="87"/>
      <c r="JSP20" s="87"/>
      <c r="JSQ20" s="87"/>
      <c r="JSR20" s="87"/>
      <c r="JSS20" s="87"/>
      <c r="JST20" s="87"/>
      <c r="JSU20" s="87"/>
      <c r="JSV20" s="87"/>
      <c r="JSW20" s="87"/>
      <c r="JSX20" s="87"/>
      <c r="JSY20" s="87"/>
      <c r="JSZ20" s="87"/>
      <c r="JTA20" s="87"/>
      <c r="JTB20" s="87"/>
      <c r="JTC20" s="87"/>
      <c r="JTD20" s="87"/>
      <c r="JTE20" s="87"/>
      <c r="JTF20" s="87"/>
      <c r="JTG20" s="87"/>
      <c r="JTH20" s="87"/>
      <c r="JTI20" s="87"/>
      <c r="JTJ20" s="87"/>
      <c r="JTK20" s="87"/>
      <c r="JTL20" s="87"/>
      <c r="JTM20" s="87"/>
      <c r="JTN20" s="87"/>
      <c r="JTO20" s="87"/>
      <c r="JTP20" s="87"/>
      <c r="JTQ20" s="87"/>
      <c r="JTR20" s="87"/>
      <c r="JTS20" s="87"/>
      <c r="JTT20" s="87"/>
      <c r="JTU20" s="87"/>
      <c r="JTV20" s="87"/>
      <c r="JTW20" s="87"/>
      <c r="JTX20" s="87"/>
      <c r="JTY20" s="87"/>
      <c r="JTZ20" s="87"/>
      <c r="JUA20" s="87"/>
      <c r="JUB20" s="87"/>
      <c r="JUC20" s="87"/>
      <c r="JUD20" s="87"/>
      <c r="JUE20" s="87"/>
      <c r="JUF20" s="87"/>
      <c r="JUG20" s="87"/>
      <c r="JUH20" s="87"/>
      <c r="JUI20" s="87"/>
      <c r="JUJ20" s="87"/>
      <c r="JUK20" s="87"/>
      <c r="JUL20" s="87"/>
      <c r="JUM20" s="87"/>
      <c r="JUN20" s="87"/>
      <c r="JUO20" s="87"/>
      <c r="JUP20" s="87"/>
      <c r="JUQ20" s="87"/>
      <c r="JUR20" s="87"/>
      <c r="JUS20" s="87"/>
      <c r="JUT20" s="87"/>
      <c r="JUU20" s="87"/>
      <c r="JUV20" s="87"/>
      <c r="JUW20" s="87"/>
      <c r="JUX20" s="87"/>
      <c r="JUY20" s="87"/>
      <c r="JUZ20" s="87"/>
      <c r="JVA20" s="87"/>
      <c r="JVB20" s="87"/>
      <c r="JVC20" s="87"/>
      <c r="JVD20" s="87"/>
      <c r="JVE20" s="87"/>
      <c r="JVF20" s="87"/>
      <c r="JVG20" s="87"/>
      <c r="JVH20" s="87"/>
      <c r="JVI20" s="87"/>
      <c r="JVJ20" s="87"/>
      <c r="JVK20" s="87"/>
      <c r="JVL20" s="87"/>
      <c r="JVM20" s="87"/>
      <c r="JVN20" s="87"/>
      <c r="JVO20" s="87"/>
      <c r="JVP20" s="87"/>
      <c r="JVQ20" s="87"/>
      <c r="JVR20" s="87"/>
      <c r="JVS20" s="87"/>
      <c r="JVT20" s="87"/>
      <c r="JVU20" s="87"/>
      <c r="JVV20" s="87"/>
      <c r="JVW20" s="87"/>
      <c r="JVX20" s="87"/>
      <c r="JVY20" s="87"/>
      <c r="JVZ20" s="87"/>
      <c r="JWA20" s="87"/>
      <c r="JWB20" s="87"/>
      <c r="JWC20" s="87"/>
      <c r="JWD20" s="87"/>
      <c r="JWE20" s="87"/>
      <c r="JWF20" s="87"/>
      <c r="JWG20" s="87"/>
      <c r="JWH20" s="87"/>
      <c r="JWI20" s="87"/>
      <c r="JWJ20" s="87"/>
      <c r="JWK20" s="87"/>
      <c r="JWL20" s="87"/>
      <c r="JWM20" s="87"/>
      <c r="JWN20" s="87"/>
      <c r="JWO20" s="87"/>
      <c r="JWP20" s="87"/>
      <c r="JWQ20" s="87"/>
      <c r="JWR20" s="87"/>
      <c r="JWS20" s="87"/>
      <c r="JWT20" s="87"/>
      <c r="JWU20" s="87"/>
      <c r="JWV20" s="87"/>
      <c r="JWW20" s="87"/>
      <c r="JWX20" s="87"/>
      <c r="JWY20" s="87"/>
      <c r="JWZ20" s="87"/>
      <c r="JXA20" s="87"/>
      <c r="JXB20" s="87"/>
      <c r="JXC20" s="87"/>
      <c r="JXD20" s="87"/>
      <c r="JXE20" s="87"/>
      <c r="JXF20" s="87"/>
      <c r="JXG20" s="87"/>
      <c r="JXH20" s="87"/>
      <c r="JXI20" s="87"/>
      <c r="JXJ20" s="87"/>
      <c r="JXK20" s="87"/>
      <c r="JXL20" s="87"/>
      <c r="JXM20" s="87"/>
      <c r="JXN20" s="87"/>
      <c r="JXO20" s="87"/>
      <c r="JXP20" s="87"/>
      <c r="JXQ20" s="87"/>
      <c r="JXR20" s="87"/>
      <c r="JXS20" s="87"/>
      <c r="JXT20" s="87"/>
      <c r="JXU20" s="87"/>
      <c r="JXV20" s="87"/>
      <c r="JXW20" s="87"/>
      <c r="JXX20" s="87"/>
      <c r="JXY20" s="87"/>
      <c r="JXZ20" s="87"/>
      <c r="JYA20" s="87"/>
      <c r="JYB20" s="87"/>
      <c r="JYC20" s="87"/>
      <c r="JYD20" s="87"/>
      <c r="JYE20" s="87"/>
      <c r="JYF20" s="87"/>
      <c r="JYG20" s="87"/>
      <c r="JYH20" s="87"/>
      <c r="JYI20" s="87"/>
      <c r="JYJ20" s="87"/>
      <c r="JYK20" s="87"/>
      <c r="JYL20" s="87"/>
      <c r="JYM20" s="87"/>
      <c r="JYN20" s="87"/>
      <c r="JYO20" s="87"/>
      <c r="JYP20" s="87"/>
      <c r="JYQ20" s="87"/>
      <c r="JYR20" s="87"/>
      <c r="JYS20" s="87"/>
      <c r="JYT20" s="87"/>
      <c r="JYU20" s="87"/>
      <c r="JYV20" s="87"/>
      <c r="JYW20" s="87"/>
      <c r="JYX20" s="87"/>
      <c r="JYY20" s="87"/>
      <c r="JYZ20" s="87"/>
      <c r="JZA20" s="87"/>
      <c r="JZB20" s="87"/>
      <c r="JZC20" s="87"/>
      <c r="JZD20" s="87"/>
      <c r="JZE20" s="87"/>
      <c r="JZF20" s="87"/>
      <c r="JZG20" s="87"/>
      <c r="JZH20" s="87"/>
      <c r="JZI20" s="87"/>
      <c r="JZJ20" s="87"/>
      <c r="JZK20" s="87"/>
      <c r="JZL20" s="87"/>
      <c r="JZM20" s="87"/>
      <c r="JZN20" s="87"/>
      <c r="JZO20" s="87"/>
      <c r="JZP20" s="87"/>
      <c r="JZQ20" s="87"/>
      <c r="JZR20" s="87"/>
      <c r="JZS20" s="87"/>
      <c r="JZT20" s="87"/>
      <c r="JZU20" s="87"/>
      <c r="JZV20" s="87"/>
      <c r="JZW20" s="87"/>
      <c r="JZX20" s="87"/>
      <c r="JZY20" s="87"/>
      <c r="JZZ20" s="87"/>
      <c r="KAA20" s="87"/>
      <c r="KAB20" s="87"/>
      <c r="KAC20" s="87"/>
      <c r="KAD20" s="87"/>
      <c r="KAE20" s="87"/>
      <c r="KAF20" s="87"/>
      <c r="KAG20" s="87"/>
      <c r="KAH20" s="87"/>
      <c r="KAI20" s="87"/>
      <c r="KAJ20" s="87"/>
      <c r="KAK20" s="87"/>
      <c r="KAL20" s="87"/>
      <c r="KAM20" s="87"/>
      <c r="KAN20" s="87"/>
      <c r="KAO20" s="87"/>
      <c r="KAP20" s="87"/>
      <c r="KAQ20" s="87"/>
      <c r="KAR20" s="87"/>
      <c r="KAS20" s="87"/>
      <c r="KAT20" s="87"/>
      <c r="KAU20" s="87"/>
      <c r="KAV20" s="87"/>
      <c r="KAW20" s="87"/>
      <c r="KAX20" s="87"/>
      <c r="KAY20" s="87"/>
      <c r="KAZ20" s="87"/>
      <c r="KBA20" s="87"/>
      <c r="KBB20" s="87"/>
      <c r="KBC20" s="87"/>
      <c r="KBD20" s="87"/>
      <c r="KBE20" s="87"/>
      <c r="KBF20" s="87"/>
      <c r="KBG20" s="87"/>
      <c r="KBH20" s="87"/>
      <c r="KBI20" s="87"/>
      <c r="KBJ20" s="87"/>
      <c r="KBK20" s="87"/>
      <c r="KBL20" s="87"/>
      <c r="KBM20" s="87"/>
      <c r="KBN20" s="87"/>
      <c r="KBO20" s="87"/>
      <c r="KBP20" s="87"/>
      <c r="KBQ20" s="87"/>
      <c r="KBR20" s="87"/>
      <c r="KBS20" s="87"/>
      <c r="KBT20" s="87"/>
      <c r="KBU20" s="87"/>
      <c r="KBV20" s="87"/>
      <c r="KBW20" s="87"/>
      <c r="KBX20" s="87"/>
      <c r="KBY20" s="87"/>
      <c r="KBZ20" s="87"/>
      <c r="KCA20" s="87"/>
      <c r="KCB20" s="87"/>
      <c r="KCC20" s="87"/>
      <c r="KCD20" s="87"/>
      <c r="KCE20" s="87"/>
      <c r="KCF20" s="87"/>
      <c r="KCG20" s="87"/>
      <c r="KCH20" s="87"/>
      <c r="KCI20" s="87"/>
      <c r="KCJ20" s="87"/>
      <c r="KCK20" s="87"/>
      <c r="KCL20" s="87"/>
      <c r="KCM20" s="87"/>
      <c r="KCN20" s="87"/>
      <c r="KCO20" s="87"/>
      <c r="KCP20" s="87"/>
      <c r="KCQ20" s="87"/>
      <c r="KCR20" s="87"/>
      <c r="KCS20" s="87"/>
      <c r="KCT20" s="87"/>
      <c r="KCU20" s="87"/>
      <c r="KCV20" s="87"/>
      <c r="KCW20" s="87"/>
      <c r="KCX20" s="87"/>
      <c r="KCY20" s="87"/>
      <c r="KCZ20" s="87"/>
      <c r="KDA20" s="87"/>
      <c r="KDB20" s="87"/>
      <c r="KDC20" s="87"/>
      <c r="KDD20" s="87"/>
      <c r="KDE20" s="87"/>
      <c r="KDF20" s="87"/>
      <c r="KDG20" s="87"/>
      <c r="KDH20" s="87"/>
      <c r="KDI20" s="87"/>
      <c r="KDJ20" s="87"/>
      <c r="KDK20" s="87"/>
      <c r="KDL20" s="87"/>
      <c r="KDM20" s="87"/>
      <c r="KDN20" s="87"/>
      <c r="KDO20" s="87"/>
      <c r="KDP20" s="87"/>
      <c r="KDQ20" s="87"/>
      <c r="KDR20" s="87"/>
      <c r="KDS20" s="87"/>
      <c r="KDT20" s="87"/>
      <c r="KDU20" s="87"/>
      <c r="KDV20" s="87"/>
      <c r="KDW20" s="87"/>
      <c r="KDX20" s="87"/>
      <c r="KDY20" s="87"/>
      <c r="KDZ20" s="87"/>
      <c r="KEA20" s="87"/>
      <c r="KEB20" s="87"/>
      <c r="KEC20" s="87"/>
      <c r="KED20" s="87"/>
      <c r="KEE20" s="87"/>
      <c r="KEF20" s="87"/>
      <c r="KEG20" s="87"/>
      <c r="KEH20" s="87"/>
      <c r="KEI20" s="87"/>
      <c r="KEJ20" s="87"/>
      <c r="KEK20" s="87"/>
      <c r="KEL20" s="87"/>
      <c r="KEM20" s="87"/>
      <c r="KEN20" s="87"/>
      <c r="KEO20" s="87"/>
      <c r="KEP20" s="87"/>
      <c r="KEQ20" s="87"/>
      <c r="KER20" s="87"/>
      <c r="KES20" s="87"/>
      <c r="KET20" s="87"/>
      <c r="KEU20" s="87"/>
      <c r="KEV20" s="87"/>
      <c r="KEW20" s="87"/>
      <c r="KEX20" s="87"/>
      <c r="KEY20" s="87"/>
      <c r="KEZ20" s="87"/>
      <c r="KFA20" s="87"/>
      <c r="KFB20" s="87"/>
      <c r="KFC20" s="87"/>
      <c r="KFD20" s="87"/>
      <c r="KFE20" s="87"/>
      <c r="KFF20" s="87"/>
      <c r="KFG20" s="87"/>
      <c r="KFH20" s="87"/>
      <c r="KFI20" s="87"/>
      <c r="KFJ20" s="87"/>
      <c r="KFK20" s="87"/>
      <c r="KFL20" s="87"/>
      <c r="KFM20" s="87"/>
      <c r="KFN20" s="87"/>
      <c r="KFO20" s="87"/>
      <c r="KFP20" s="87"/>
      <c r="KFQ20" s="87"/>
      <c r="KFR20" s="87"/>
      <c r="KFS20" s="87"/>
      <c r="KFT20" s="87"/>
      <c r="KFU20" s="87"/>
      <c r="KFV20" s="87"/>
      <c r="KFW20" s="87"/>
      <c r="KFX20" s="87"/>
      <c r="KFY20" s="87"/>
      <c r="KFZ20" s="87"/>
      <c r="KGA20" s="87"/>
      <c r="KGB20" s="87"/>
      <c r="KGC20" s="87"/>
      <c r="KGD20" s="87"/>
      <c r="KGE20" s="87"/>
      <c r="KGF20" s="87"/>
      <c r="KGG20" s="87"/>
      <c r="KGH20" s="87"/>
      <c r="KGI20" s="87"/>
      <c r="KGJ20" s="87"/>
      <c r="KGK20" s="87"/>
      <c r="KGL20" s="87"/>
      <c r="KGM20" s="87"/>
      <c r="KGN20" s="87"/>
      <c r="KGO20" s="87"/>
      <c r="KGP20" s="87"/>
      <c r="KGQ20" s="87"/>
      <c r="KGR20" s="87"/>
      <c r="KGS20" s="87"/>
      <c r="KGT20" s="87"/>
      <c r="KGU20" s="87"/>
      <c r="KGV20" s="87"/>
      <c r="KGW20" s="87"/>
      <c r="KGX20" s="87"/>
      <c r="KGY20" s="87"/>
      <c r="KGZ20" s="87"/>
      <c r="KHA20" s="87"/>
      <c r="KHB20" s="87"/>
      <c r="KHC20" s="87"/>
      <c r="KHD20" s="87"/>
      <c r="KHE20" s="87"/>
      <c r="KHF20" s="87"/>
      <c r="KHG20" s="87"/>
      <c r="KHH20" s="87"/>
      <c r="KHI20" s="87"/>
      <c r="KHJ20" s="87"/>
      <c r="KHK20" s="87"/>
      <c r="KHL20" s="87"/>
      <c r="KHM20" s="87"/>
      <c r="KHN20" s="87"/>
      <c r="KHO20" s="87"/>
      <c r="KHP20" s="87"/>
      <c r="KHQ20" s="87"/>
      <c r="KHR20" s="87"/>
      <c r="KHS20" s="87"/>
      <c r="KHT20" s="87"/>
      <c r="KHU20" s="87"/>
      <c r="KHV20" s="87"/>
      <c r="KHW20" s="87"/>
      <c r="KHX20" s="87"/>
      <c r="KHY20" s="87"/>
      <c r="KHZ20" s="87"/>
      <c r="KIA20" s="87"/>
      <c r="KIB20" s="87"/>
      <c r="KIC20" s="87"/>
      <c r="KID20" s="87"/>
      <c r="KIE20" s="87"/>
      <c r="KIF20" s="87"/>
      <c r="KIG20" s="87"/>
      <c r="KIH20" s="87"/>
      <c r="KII20" s="87"/>
      <c r="KIJ20" s="87"/>
      <c r="KIK20" s="87"/>
      <c r="KIL20" s="87"/>
      <c r="KIM20" s="87"/>
      <c r="KIN20" s="87"/>
      <c r="KIO20" s="87"/>
      <c r="KIP20" s="87"/>
      <c r="KIQ20" s="87"/>
      <c r="KIR20" s="87"/>
      <c r="KIS20" s="87"/>
      <c r="KIT20" s="87"/>
      <c r="KIU20" s="87"/>
      <c r="KIV20" s="87"/>
      <c r="KIW20" s="87"/>
      <c r="KIX20" s="87"/>
      <c r="KIY20" s="87"/>
      <c r="KIZ20" s="87"/>
      <c r="KJA20" s="87"/>
      <c r="KJB20" s="87"/>
      <c r="KJC20" s="87"/>
      <c r="KJD20" s="87"/>
      <c r="KJE20" s="87"/>
      <c r="KJF20" s="87"/>
      <c r="KJG20" s="87"/>
      <c r="KJH20" s="87"/>
      <c r="KJI20" s="87"/>
      <c r="KJJ20" s="87"/>
      <c r="KJK20" s="87"/>
      <c r="KJL20" s="87"/>
      <c r="KJM20" s="87"/>
      <c r="KJN20" s="87"/>
      <c r="KJO20" s="87"/>
      <c r="KJP20" s="87"/>
      <c r="KJQ20" s="87"/>
      <c r="KJR20" s="87"/>
      <c r="KJS20" s="87"/>
      <c r="KJT20" s="87"/>
      <c r="KJU20" s="87"/>
      <c r="KJV20" s="87"/>
      <c r="KJW20" s="87"/>
      <c r="KJX20" s="87"/>
      <c r="KJY20" s="87"/>
      <c r="KJZ20" s="87"/>
      <c r="KKA20" s="87"/>
      <c r="KKB20" s="87"/>
      <c r="KKC20" s="87"/>
      <c r="KKD20" s="87"/>
      <c r="KKE20" s="87"/>
      <c r="KKF20" s="87"/>
      <c r="KKG20" s="87"/>
      <c r="KKH20" s="87"/>
      <c r="KKI20" s="87"/>
      <c r="KKJ20" s="87"/>
      <c r="KKK20" s="87"/>
      <c r="KKL20" s="87"/>
      <c r="KKM20" s="87"/>
      <c r="KKN20" s="87"/>
      <c r="KKO20" s="87"/>
      <c r="KKP20" s="87"/>
      <c r="KKQ20" s="87"/>
      <c r="KKR20" s="87"/>
      <c r="KKS20" s="87"/>
      <c r="KKT20" s="87"/>
      <c r="KKU20" s="87"/>
      <c r="KKV20" s="87"/>
      <c r="KKW20" s="87"/>
      <c r="KKX20" s="87"/>
      <c r="KKY20" s="87"/>
      <c r="KKZ20" s="87"/>
      <c r="KLA20" s="87"/>
      <c r="KLB20" s="87"/>
      <c r="KLC20" s="87"/>
      <c r="KLD20" s="87"/>
      <c r="KLE20" s="87"/>
      <c r="KLF20" s="87"/>
      <c r="KLG20" s="87"/>
      <c r="KLH20" s="87"/>
      <c r="KLI20" s="87"/>
      <c r="KLJ20" s="87"/>
      <c r="KLK20" s="87"/>
      <c r="KLL20" s="87"/>
      <c r="KLM20" s="87"/>
      <c r="KLN20" s="87"/>
      <c r="KLO20" s="87"/>
      <c r="KLP20" s="87"/>
      <c r="KLQ20" s="87"/>
      <c r="KLR20" s="87"/>
      <c r="KLS20" s="87"/>
      <c r="KLT20" s="87"/>
      <c r="KLU20" s="87"/>
      <c r="KLV20" s="87"/>
      <c r="KLW20" s="87"/>
      <c r="KLX20" s="87"/>
      <c r="KLY20" s="87"/>
      <c r="KLZ20" s="87"/>
      <c r="KMA20" s="87"/>
      <c r="KMB20" s="87"/>
      <c r="KMC20" s="87"/>
      <c r="KMD20" s="87"/>
      <c r="KME20" s="87"/>
      <c r="KMF20" s="87"/>
      <c r="KMG20" s="87"/>
      <c r="KMH20" s="87"/>
      <c r="KMI20" s="87"/>
      <c r="KMJ20" s="87"/>
      <c r="KMK20" s="87"/>
      <c r="KML20" s="87"/>
      <c r="KMM20" s="87"/>
      <c r="KMN20" s="87"/>
      <c r="KMO20" s="87"/>
      <c r="KMP20" s="87"/>
      <c r="KMQ20" s="87"/>
      <c r="KMR20" s="87"/>
      <c r="KMS20" s="87"/>
      <c r="KMT20" s="87"/>
      <c r="KMU20" s="87"/>
      <c r="KMV20" s="87"/>
      <c r="KMW20" s="87"/>
      <c r="KMX20" s="87"/>
      <c r="KMY20" s="87"/>
      <c r="KMZ20" s="87"/>
      <c r="KNA20" s="87"/>
      <c r="KNB20" s="87"/>
      <c r="KNC20" s="87"/>
      <c r="KND20" s="87"/>
      <c r="KNE20" s="87"/>
      <c r="KNF20" s="87"/>
      <c r="KNG20" s="87"/>
      <c r="KNH20" s="87"/>
      <c r="KNI20" s="87"/>
      <c r="KNJ20" s="87"/>
      <c r="KNK20" s="87"/>
      <c r="KNL20" s="87"/>
      <c r="KNM20" s="87"/>
      <c r="KNN20" s="87"/>
      <c r="KNO20" s="87"/>
      <c r="KNP20" s="87"/>
      <c r="KNQ20" s="87"/>
      <c r="KNR20" s="87"/>
      <c r="KNS20" s="87"/>
      <c r="KNT20" s="87"/>
      <c r="KNU20" s="87"/>
      <c r="KNV20" s="87"/>
      <c r="KNW20" s="87"/>
      <c r="KNX20" s="87"/>
      <c r="KNY20" s="87"/>
      <c r="KNZ20" s="87"/>
      <c r="KOA20" s="87"/>
      <c r="KOB20" s="87"/>
      <c r="KOC20" s="87"/>
      <c r="KOD20" s="87"/>
      <c r="KOE20" s="87"/>
      <c r="KOF20" s="87"/>
      <c r="KOG20" s="87"/>
      <c r="KOH20" s="87"/>
      <c r="KOI20" s="87"/>
      <c r="KOJ20" s="87"/>
      <c r="KOK20" s="87"/>
      <c r="KOL20" s="87"/>
      <c r="KOM20" s="87"/>
      <c r="KON20" s="87"/>
      <c r="KOO20" s="87"/>
      <c r="KOP20" s="87"/>
      <c r="KOQ20" s="87"/>
      <c r="KOR20" s="87"/>
      <c r="KOS20" s="87"/>
      <c r="KOT20" s="87"/>
      <c r="KOU20" s="87"/>
      <c r="KOV20" s="87"/>
      <c r="KOW20" s="87"/>
      <c r="KOX20" s="87"/>
      <c r="KOY20" s="87"/>
      <c r="KOZ20" s="87"/>
      <c r="KPA20" s="87"/>
      <c r="KPB20" s="87"/>
      <c r="KPC20" s="87"/>
      <c r="KPD20" s="87"/>
      <c r="KPE20" s="87"/>
      <c r="KPF20" s="87"/>
      <c r="KPG20" s="87"/>
      <c r="KPH20" s="87"/>
      <c r="KPI20" s="87"/>
      <c r="KPJ20" s="87"/>
      <c r="KPK20" s="87"/>
      <c r="KPL20" s="87"/>
      <c r="KPM20" s="87"/>
      <c r="KPN20" s="87"/>
      <c r="KPO20" s="87"/>
      <c r="KPP20" s="87"/>
      <c r="KPQ20" s="87"/>
      <c r="KPR20" s="87"/>
      <c r="KPS20" s="87"/>
      <c r="KPT20" s="87"/>
      <c r="KPU20" s="87"/>
      <c r="KPV20" s="87"/>
      <c r="KPW20" s="87"/>
      <c r="KPX20" s="87"/>
      <c r="KPY20" s="87"/>
      <c r="KPZ20" s="87"/>
      <c r="KQA20" s="87"/>
      <c r="KQB20" s="87"/>
      <c r="KQC20" s="87"/>
      <c r="KQD20" s="87"/>
      <c r="KQE20" s="87"/>
      <c r="KQF20" s="87"/>
      <c r="KQG20" s="87"/>
      <c r="KQH20" s="87"/>
      <c r="KQI20" s="87"/>
      <c r="KQJ20" s="87"/>
      <c r="KQK20" s="87"/>
      <c r="KQL20" s="87"/>
      <c r="KQM20" s="87"/>
      <c r="KQN20" s="87"/>
      <c r="KQO20" s="87"/>
      <c r="KQP20" s="87"/>
      <c r="KQQ20" s="87"/>
      <c r="KQR20" s="87"/>
      <c r="KQS20" s="87"/>
      <c r="KQT20" s="87"/>
      <c r="KQU20" s="87"/>
      <c r="KQV20" s="87"/>
      <c r="KQW20" s="87"/>
      <c r="KQX20" s="87"/>
      <c r="KQY20" s="87"/>
      <c r="KQZ20" s="87"/>
      <c r="KRA20" s="87"/>
      <c r="KRB20" s="87"/>
      <c r="KRC20" s="87"/>
      <c r="KRD20" s="87"/>
      <c r="KRE20" s="87"/>
      <c r="KRF20" s="87"/>
      <c r="KRG20" s="87"/>
      <c r="KRH20" s="87"/>
      <c r="KRI20" s="87"/>
      <c r="KRJ20" s="87"/>
      <c r="KRK20" s="87"/>
      <c r="KRL20" s="87"/>
      <c r="KRM20" s="87"/>
      <c r="KRN20" s="87"/>
      <c r="KRO20" s="87"/>
      <c r="KRP20" s="87"/>
      <c r="KRQ20" s="87"/>
      <c r="KRR20" s="87"/>
      <c r="KRS20" s="87"/>
      <c r="KRT20" s="87"/>
      <c r="KRU20" s="87"/>
      <c r="KRV20" s="87"/>
      <c r="KRW20" s="87"/>
      <c r="KRX20" s="87"/>
      <c r="KRY20" s="87"/>
      <c r="KRZ20" s="87"/>
      <c r="KSA20" s="87"/>
      <c r="KSB20" s="87"/>
      <c r="KSC20" s="87"/>
      <c r="KSD20" s="87"/>
      <c r="KSE20" s="87"/>
      <c r="KSF20" s="87"/>
      <c r="KSG20" s="87"/>
      <c r="KSH20" s="87"/>
      <c r="KSI20" s="87"/>
      <c r="KSJ20" s="87"/>
      <c r="KSK20" s="87"/>
      <c r="KSL20" s="87"/>
      <c r="KSM20" s="87"/>
      <c r="KSN20" s="87"/>
      <c r="KSO20" s="87"/>
      <c r="KSP20" s="87"/>
      <c r="KSQ20" s="87"/>
      <c r="KSR20" s="87"/>
      <c r="KSS20" s="87"/>
      <c r="KST20" s="87"/>
      <c r="KSU20" s="87"/>
      <c r="KSV20" s="87"/>
      <c r="KSW20" s="87"/>
      <c r="KSX20" s="87"/>
      <c r="KSY20" s="87"/>
      <c r="KSZ20" s="87"/>
      <c r="KTA20" s="87"/>
      <c r="KTB20" s="87"/>
      <c r="KTC20" s="87"/>
      <c r="KTD20" s="87"/>
      <c r="KTE20" s="87"/>
      <c r="KTF20" s="87"/>
      <c r="KTG20" s="87"/>
      <c r="KTH20" s="87"/>
      <c r="KTI20" s="87"/>
      <c r="KTJ20" s="87"/>
      <c r="KTK20" s="87"/>
      <c r="KTL20" s="87"/>
      <c r="KTM20" s="87"/>
      <c r="KTN20" s="87"/>
      <c r="KTO20" s="87"/>
      <c r="KTP20" s="87"/>
      <c r="KTQ20" s="87"/>
      <c r="KTR20" s="87"/>
      <c r="KTS20" s="87"/>
      <c r="KTT20" s="87"/>
      <c r="KTU20" s="87"/>
      <c r="KTV20" s="87"/>
      <c r="KTW20" s="87"/>
      <c r="KTX20" s="87"/>
      <c r="KTY20" s="87"/>
      <c r="KTZ20" s="87"/>
      <c r="KUA20" s="87"/>
      <c r="KUB20" s="87"/>
      <c r="KUC20" s="87"/>
      <c r="KUD20" s="87"/>
      <c r="KUE20" s="87"/>
      <c r="KUF20" s="87"/>
      <c r="KUG20" s="87"/>
      <c r="KUH20" s="87"/>
      <c r="KUI20" s="87"/>
      <c r="KUJ20" s="87"/>
      <c r="KUK20" s="87"/>
      <c r="KUL20" s="87"/>
      <c r="KUM20" s="87"/>
      <c r="KUN20" s="87"/>
      <c r="KUO20" s="87"/>
      <c r="KUP20" s="87"/>
      <c r="KUQ20" s="87"/>
      <c r="KUR20" s="87"/>
      <c r="KUS20" s="87"/>
      <c r="KUT20" s="87"/>
      <c r="KUU20" s="87"/>
      <c r="KUV20" s="87"/>
      <c r="KUW20" s="87"/>
      <c r="KUX20" s="87"/>
      <c r="KUY20" s="87"/>
      <c r="KUZ20" s="87"/>
      <c r="KVA20" s="87"/>
      <c r="KVB20" s="87"/>
      <c r="KVC20" s="87"/>
      <c r="KVD20" s="87"/>
      <c r="KVE20" s="87"/>
      <c r="KVF20" s="87"/>
      <c r="KVG20" s="87"/>
      <c r="KVH20" s="87"/>
      <c r="KVI20" s="87"/>
      <c r="KVJ20" s="87"/>
      <c r="KVK20" s="87"/>
      <c r="KVL20" s="87"/>
      <c r="KVM20" s="87"/>
      <c r="KVN20" s="87"/>
      <c r="KVO20" s="87"/>
      <c r="KVP20" s="87"/>
      <c r="KVQ20" s="87"/>
      <c r="KVR20" s="87"/>
      <c r="KVS20" s="87"/>
      <c r="KVT20" s="87"/>
      <c r="KVU20" s="87"/>
      <c r="KVV20" s="87"/>
      <c r="KVW20" s="87"/>
      <c r="KVX20" s="87"/>
      <c r="KVY20" s="87"/>
      <c r="KVZ20" s="87"/>
      <c r="KWA20" s="87"/>
      <c r="KWB20" s="87"/>
      <c r="KWC20" s="87"/>
      <c r="KWD20" s="87"/>
      <c r="KWE20" s="87"/>
      <c r="KWF20" s="87"/>
      <c r="KWG20" s="87"/>
      <c r="KWH20" s="87"/>
      <c r="KWI20" s="87"/>
      <c r="KWJ20" s="87"/>
      <c r="KWK20" s="87"/>
      <c r="KWL20" s="87"/>
      <c r="KWM20" s="87"/>
      <c r="KWN20" s="87"/>
      <c r="KWO20" s="87"/>
      <c r="KWP20" s="87"/>
      <c r="KWQ20" s="87"/>
      <c r="KWR20" s="87"/>
      <c r="KWS20" s="87"/>
      <c r="KWT20" s="87"/>
      <c r="KWU20" s="87"/>
      <c r="KWV20" s="87"/>
      <c r="KWW20" s="87"/>
      <c r="KWX20" s="87"/>
      <c r="KWY20" s="87"/>
      <c r="KWZ20" s="87"/>
      <c r="KXA20" s="87"/>
      <c r="KXB20" s="87"/>
      <c r="KXC20" s="87"/>
      <c r="KXD20" s="87"/>
      <c r="KXE20" s="87"/>
      <c r="KXF20" s="87"/>
      <c r="KXG20" s="87"/>
      <c r="KXH20" s="87"/>
      <c r="KXI20" s="87"/>
      <c r="KXJ20" s="87"/>
      <c r="KXK20" s="87"/>
      <c r="KXL20" s="87"/>
      <c r="KXM20" s="87"/>
      <c r="KXN20" s="87"/>
      <c r="KXO20" s="87"/>
      <c r="KXP20" s="87"/>
      <c r="KXQ20" s="87"/>
      <c r="KXR20" s="87"/>
      <c r="KXS20" s="87"/>
      <c r="KXT20" s="87"/>
      <c r="KXU20" s="87"/>
      <c r="KXV20" s="87"/>
      <c r="KXW20" s="87"/>
      <c r="KXX20" s="87"/>
      <c r="KXY20" s="87"/>
      <c r="KXZ20" s="87"/>
      <c r="KYA20" s="87"/>
      <c r="KYB20" s="87"/>
      <c r="KYC20" s="87"/>
      <c r="KYD20" s="87"/>
      <c r="KYE20" s="87"/>
      <c r="KYF20" s="87"/>
      <c r="KYG20" s="87"/>
      <c r="KYH20" s="87"/>
      <c r="KYI20" s="87"/>
      <c r="KYJ20" s="87"/>
      <c r="KYK20" s="87"/>
      <c r="KYL20" s="87"/>
      <c r="KYM20" s="87"/>
      <c r="KYN20" s="87"/>
      <c r="KYO20" s="87"/>
      <c r="KYP20" s="87"/>
      <c r="KYQ20" s="87"/>
      <c r="KYR20" s="87"/>
      <c r="KYS20" s="87"/>
      <c r="KYT20" s="87"/>
      <c r="KYU20" s="87"/>
      <c r="KYV20" s="87"/>
      <c r="KYW20" s="87"/>
      <c r="KYX20" s="87"/>
      <c r="KYY20" s="87"/>
      <c r="KYZ20" s="87"/>
      <c r="KZA20" s="87"/>
      <c r="KZB20" s="87"/>
      <c r="KZC20" s="87"/>
      <c r="KZD20" s="87"/>
      <c r="KZE20" s="87"/>
      <c r="KZF20" s="87"/>
      <c r="KZG20" s="87"/>
      <c r="KZH20" s="87"/>
      <c r="KZI20" s="87"/>
      <c r="KZJ20" s="87"/>
      <c r="KZK20" s="87"/>
      <c r="KZL20" s="87"/>
      <c r="KZM20" s="87"/>
      <c r="KZN20" s="87"/>
      <c r="KZO20" s="87"/>
      <c r="KZP20" s="87"/>
      <c r="KZQ20" s="87"/>
      <c r="KZR20" s="87"/>
      <c r="KZS20" s="87"/>
      <c r="KZT20" s="87"/>
      <c r="KZU20" s="87"/>
      <c r="KZV20" s="87"/>
      <c r="KZW20" s="87"/>
      <c r="KZX20" s="87"/>
      <c r="KZY20" s="87"/>
      <c r="KZZ20" s="87"/>
      <c r="LAA20" s="87"/>
      <c r="LAB20" s="87"/>
      <c r="LAC20" s="87"/>
      <c r="LAD20" s="87"/>
      <c r="LAE20" s="87"/>
      <c r="LAF20" s="87"/>
      <c r="LAG20" s="87"/>
      <c r="LAH20" s="87"/>
      <c r="LAI20" s="87"/>
      <c r="LAJ20" s="87"/>
      <c r="LAK20" s="87"/>
      <c r="LAL20" s="87"/>
      <c r="LAM20" s="87"/>
      <c r="LAN20" s="87"/>
      <c r="LAO20" s="87"/>
      <c r="LAP20" s="87"/>
      <c r="LAQ20" s="87"/>
      <c r="LAR20" s="87"/>
      <c r="LAS20" s="87"/>
      <c r="LAT20" s="87"/>
      <c r="LAU20" s="87"/>
      <c r="LAV20" s="87"/>
      <c r="LAW20" s="87"/>
      <c r="LAX20" s="87"/>
      <c r="LAY20" s="87"/>
      <c r="LAZ20" s="87"/>
      <c r="LBA20" s="87"/>
      <c r="LBB20" s="87"/>
      <c r="LBC20" s="87"/>
      <c r="LBD20" s="87"/>
      <c r="LBE20" s="87"/>
      <c r="LBF20" s="87"/>
      <c r="LBG20" s="87"/>
      <c r="LBH20" s="87"/>
      <c r="LBI20" s="87"/>
      <c r="LBJ20" s="87"/>
      <c r="LBK20" s="87"/>
      <c r="LBL20" s="87"/>
      <c r="LBM20" s="87"/>
      <c r="LBN20" s="87"/>
      <c r="LBO20" s="87"/>
      <c r="LBP20" s="87"/>
      <c r="LBQ20" s="87"/>
      <c r="LBR20" s="87"/>
      <c r="LBS20" s="87"/>
      <c r="LBT20" s="87"/>
      <c r="LBU20" s="87"/>
      <c r="LBV20" s="87"/>
      <c r="LBW20" s="87"/>
      <c r="LBX20" s="87"/>
      <c r="LBY20" s="87"/>
      <c r="LBZ20" s="87"/>
      <c r="LCA20" s="87"/>
      <c r="LCB20" s="87"/>
      <c r="LCC20" s="87"/>
      <c r="LCD20" s="87"/>
      <c r="LCE20" s="87"/>
      <c r="LCF20" s="87"/>
      <c r="LCG20" s="87"/>
      <c r="LCH20" s="87"/>
      <c r="LCI20" s="87"/>
      <c r="LCJ20" s="87"/>
      <c r="LCK20" s="87"/>
      <c r="LCL20" s="87"/>
      <c r="LCM20" s="87"/>
      <c r="LCN20" s="87"/>
      <c r="LCO20" s="87"/>
      <c r="LCP20" s="87"/>
      <c r="LCQ20" s="87"/>
      <c r="LCR20" s="87"/>
      <c r="LCS20" s="87"/>
      <c r="LCT20" s="87"/>
      <c r="LCU20" s="87"/>
      <c r="LCV20" s="87"/>
      <c r="LCW20" s="87"/>
      <c r="LCX20" s="87"/>
      <c r="LCY20" s="87"/>
      <c r="LCZ20" s="87"/>
      <c r="LDA20" s="87"/>
      <c r="LDB20" s="87"/>
      <c r="LDC20" s="87"/>
      <c r="LDD20" s="87"/>
      <c r="LDE20" s="87"/>
      <c r="LDF20" s="87"/>
      <c r="LDG20" s="87"/>
      <c r="LDH20" s="87"/>
      <c r="LDI20" s="87"/>
      <c r="LDJ20" s="87"/>
      <c r="LDK20" s="87"/>
      <c r="LDL20" s="87"/>
      <c r="LDM20" s="87"/>
      <c r="LDN20" s="87"/>
      <c r="LDO20" s="87"/>
      <c r="LDP20" s="87"/>
      <c r="LDQ20" s="87"/>
      <c r="LDR20" s="87"/>
      <c r="LDS20" s="87"/>
      <c r="LDT20" s="87"/>
      <c r="LDU20" s="87"/>
      <c r="LDV20" s="87"/>
      <c r="LDW20" s="87"/>
      <c r="LDX20" s="87"/>
      <c r="LDY20" s="87"/>
      <c r="LDZ20" s="87"/>
      <c r="LEA20" s="87"/>
      <c r="LEB20" s="87"/>
      <c r="LEC20" s="87"/>
      <c r="LED20" s="87"/>
      <c r="LEE20" s="87"/>
      <c r="LEF20" s="87"/>
      <c r="LEG20" s="87"/>
      <c r="LEH20" s="87"/>
      <c r="LEI20" s="87"/>
      <c r="LEJ20" s="87"/>
      <c r="LEK20" s="87"/>
      <c r="LEL20" s="87"/>
      <c r="LEM20" s="87"/>
      <c r="LEN20" s="87"/>
      <c r="LEO20" s="87"/>
      <c r="LEP20" s="87"/>
      <c r="LEQ20" s="87"/>
      <c r="LER20" s="87"/>
      <c r="LES20" s="87"/>
      <c r="LET20" s="87"/>
      <c r="LEU20" s="87"/>
      <c r="LEV20" s="87"/>
      <c r="LEW20" s="87"/>
      <c r="LEX20" s="87"/>
      <c r="LEY20" s="87"/>
      <c r="LEZ20" s="87"/>
      <c r="LFA20" s="87"/>
      <c r="LFB20" s="87"/>
      <c r="LFC20" s="87"/>
      <c r="LFD20" s="87"/>
      <c r="LFE20" s="87"/>
      <c r="LFF20" s="87"/>
      <c r="LFG20" s="87"/>
      <c r="LFH20" s="87"/>
      <c r="LFI20" s="87"/>
      <c r="LFJ20" s="87"/>
      <c r="LFK20" s="87"/>
      <c r="LFL20" s="87"/>
      <c r="LFM20" s="87"/>
      <c r="LFN20" s="87"/>
      <c r="LFO20" s="87"/>
      <c r="LFP20" s="87"/>
      <c r="LFQ20" s="87"/>
      <c r="LFR20" s="87"/>
      <c r="LFS20" s="87"/>
      <c r="LFT20" s="87"/>
      <c r="LFU20" s="87"/>
      <c r="LFV20" s="87"/>
      <c r="LFW20" s="87"/>
      <c r="LFX20" s="87"/>
      <c r="LFY20" s="87"/>
      <c r="LFZ20" s="87"/>
      <c r="LGA20" s="87"/>
      <c r="LGB20" s="87"/>
      <c r="LGC20" s="87"/>
      <c r="LGD20" s="87"/>
      <c r="LGE20" s="87"/>
      <c r="LGF20" s="87"/>
      <c r="LGG20" s="87"/>
      <c r="LGH20" s="87"/>
      <c r="LGI20" s="87"/>
      <c r="LGJ20" s="87"/>
      <c r="LGK20" s="87"/>
      <c r="LGL20" s="87"/>
      <c r="LGM20" s="87"/>
      <c r="LGN20" s="87"/>
      <c r="LGO20" s="87"/>
      <c r="LGP20" s="87"/>
      <c r="LGQ20" s="87"/>
      <c r="LGR20" s="87"/>
      <c r="LGS20" s="87"/>
      <c r="LGT20" s="87"/>
      <c r="LGU20" s="87"/>
      <c r="LGV20" s="87"/>
      <c r="LGW20" s="87"/>
      <c r="LGX20" s="87"/>
      <c r="LGY20" s="87"/>
      <c r="LGZ20" s="87"/>
      <c r="LHA20" s="87"/>
      <c r="LHB20" s="87"/>
      <c r="LHC20" s="87"/>
      <c r="LHD20" s="87"/>
      <c r="LHE20" s="87"/>
      <c r="LHF20" s="87"/>
      <c r="LHG20" s="87"/>
      <c r="LHH20" s="87"/>
      <c r="LHI20" s="87"/>
      <c r="LHJ20" s="87"/>
      <c r="LHK20" s="87"/>
      <c r="LHL20" s="87"/>
      <c r="LHM20" s="87"/>
      <c r="LHN20" s="87"/>
      <c r="LHO20" s="87"/>
      <c r="LHP20" s="87"/>
      <c r="LHQ20" s="87"/>
      <c r="LHR20" s="87"/>
      <c r="LHS20" s="87"/>
      <c r="LHT20" s="87"/>
      <c r="LHU20" s="87"/>
      <c r="LHV20" s="87"/>
      <c r="LHW20" s="87"/>
      <c r="LHX20" s="87"/>
      <c r="LHY20" s="87"/>
      <c r="LHZ20" s="87"/>
      <c r="LIA20" s="87"/>
      <c r="LIB20" s="87"/>
      <c r="LIC20" s="87"/>
      <c r="LID20" s="87"/>
      <c r="LIE20" s="87"/>
      <c r="LIF20" s="87"/>
      <c r="LIG20" s="87"/>
      <c r="LIH20" s="87"/>
      <c r="LII20" s="87"/>
      <c r="LIJ20" s="87"/>
      <c r="LIK20" s="87"/>
      <c r="LIL20" s="87"/>
      <c r="LIM20" s="87"/>
      <c r="LIN20" s="87"/>
      <c r="LIO20" s="87"/>
      <c r="LIP20" s="87"/>
      <c r="LIQ20" s="87"/>
      <c r="LIR20" s="87"/>
      <c r="LIS20" s="87"/>
      <c r="LIT20" s="87"/>
      <c r="LIU20" s="87"/>
      <c r="LIV20" s="87"/>
      <c r="LIW20" s="87"/>
      <c r="LIX20" s="87"/>
      <c r="LIY20" s="87"/>
      <c r="LIZ20" s="87"/>
      <c r="LJA20" s="87"/>
      <c r="LJB20" s="87"/>
      <c r="LJC20" s="87"/>
      <c r="LJD20" s="87"/>
      <c r="LJE20" s="87"/>
      <c r="LJF20" s="87"/>
      <c r="LJG20" s="87"/>
      <c r="LJH20" s="87"/>
      <c r="LJI20" s="87"/>
      <c r="LJJ20" s="87"/>
      <c r="LJK20" s="87"/>
      <c r="LJL20" s="87"/>
      <c r="LJM20" s="87"/>
      <c r="LJN20" s="87"/>
      <c r="LJO20" s="87"/>
      <c r="LJP20" s="87"/>
      <c r="LJQ20" s="87"/>
      <c r="LJR20" s="87"/>
      <c r="LJS20" s="87"/>
      <c r="LJT20" s="87"/>
      <c r="LJU20" s="87"/>
      <c r="LJV20" s="87"/>
      <c r="LJW20" s="87"/>
      <c r="LJX20" s="87"/>
      <c r="LJY20" s="87"/>
      <c r="LJZ20" s="87"/>
      <c r="LKA20" s="87"/>
      <c r="LKB20" s="87"/>
      <c r="LKC20" s="87"/>
      <c r="LKD20" s="87"/>
      <c r="LKE20" s="87"/>
      <c r="LKF20" s="87"/>
      <c r="LKG20" s="87"/>
      <c r="LKH20" s="87"/>
      <c r="LKI20" s="87"/>
      <c r="LKJ20" s="87"/>
      <c r="LKK20" s="87"/>
      <c r="LKL20" s="87"/>
      <c r="LKM20" s="87"/>
      <c r="LKN20" s="87"/>
      <c r="LKO20" s="87"/>
      <c r="LKP20" s="87"/>
      <c r="LKQ20" s="87"/>
      <c r="LKR20" s="87"/>
      <c r="LKS20" s="87"/>
      <c r="LKT20" s="87"/>
      <c r="LKU20" s="87"/>
      <c r="LKV20" s="87"/>
      <c r="LKW20" s="87"/>
      <c r="LKX20" s="87"/>
      <c r="LKY20" s="87"/>
      <c r="LKZ20" s="87"/>
      <c r="LLA20" s="87"/>
      <c r="LLB20" s="87"/>
      <c r="LLC20" s="87"/>
      <c r="LLD20" s="87"/>
      <c r="LLE20" s="87"/>
      <c r="LLF20" s="87"/>
      <c r="LLG20" s="87"/>
      <c r="LLH20" s="87"/>
      <c r="LLI20" s="87"/>
      <c r="LLJ20" s="87"/>
      <c r="LLK20" s="87"/>
      <c r="LLL20" s="87"/>
      <c r="LLM20" s="87"/>
      <c r="LLN20" s="87"/>
      <c r="LLO20" s="87"/>
      <c r="LLP20" s="87"/>
      <c r="LLQ20" s="87"/>
      <c r="LLR20" s="87"/>
      <c r="LLS20" s="87"/>
      <c r="LLT20" s="87"/>
      <c r="LLU20" s="87"/>
      <c r="LLV20" s="87"/>
      <c r="LLW20" s="87"/>
      <c r="LLX20" s="87"/>
      <c r="LLY20" s="87"/>
      <c r="LLZ20" s="87"/>
      <c r="LMA20" s="87"/>
      <c r="LMB20" s="87"/>
      <c r="LMC20" s="87"/>
      <c r="LMD20" s="87"/>
      <c r="LME20" s="87"/>
      <c r="LMF20" s="87"/>
      <c r="LMG20" s="87"/>
      <c r="LMH20" s="87"/>
      <c r="LMI20" s="87"/>
      <c r="LMJ20" s="87"/>
      <c r="LMK20" s="87"/>
      <c r="LML20" s="87"/>
      <c r="LMM20" s="87"/>
      <c r="LMN20" s="87"/>
      <c r="LMO20" s="87"/>
      <c r="LMP20" s="87"/>
      <c r="LMQ20" s="87"/>
      <c r="LMR20" s="87"/>
      <c r="LMS20" s="87"/>
      <c r="LMT20" s="87"/>
      <c r="LMU20" s="87"/>
      <c r="LMV20" s="87"/>
      <c r="LMW20" s="87"/>
      <c r="LMX20" s="87"/>
      <c r="LMY20" s="87"/>
      <c r="LMZ20" s="87"/>
      <c r="LNA20" s="87"/>
      <c r="LNB20" s="87"/>
      <c r="LNC20" s="87"/>
      <c r="LND20" s="87"/>
      <c r="LNE20" s="87"/>
      <c r="LNF20" s="87"/>
      <c r="LNG20" s="87"/>
      <c r="LNH20" s="87"/>
      <c r="LNI20" s="87"/>
      <c r="LNJ20" s="87"/>
      <c r="LNK20" s="87"/>
      <c r="LNL20" s="87"/>
      <c r="LNM20" s="87"/>
      <c r="LNN20" s="87"/>
      <c r="LNO20" s="87"/>
      <c r="LNP20" s="87"/>
      <c r="LNQ20" s="87"/>
      <c r="LNR20" s="87"/>
      <c r="LNS20" s="87"/>
      <c r="LNT20" s="87"/>
      <c r="LNU20" s="87"/>
      <c r="LNV20" s="87"/>
      <c r="LNW20" s="87"/>
      <c r="LNX20" s="87"/>
      <c r="LNY20" s="87"/>
      <c r="LNZ20" s="87"/>
      <c r="LOA20" s="87"/>
      <c r="LOB20" s="87"/>
      <c r="LOC20" s="87"/>
      <c r="LOD20" s="87"/>
      <c r="LOE20" s="87"/>
      <c r="LOF20" s="87"/>
      <c r="LOG20" s="87"/>
      <c r="LOH20" s="87"/>
      <c r="LOI20" s="87"/>
      <c r="LOJ20" s="87"/>
      <c r="LOK20" s="87"/>
      <c r="LOL20" s="87"/>
      <c r="LOM20" s="87"/>
      <c r="LON20" s="87"/>
      <c r="LOO20" s="87"/>
      <c r="LOP20" s="87"/>
      <c r="LOQ20" s="87"/>
      <c r="LOR20" s="87"/>
      <c r="LOS20" s="87"/>
      <c r="LOT20" s="87"/>
      <c r="LOU20" s="87"/>
      <c r="LOV20" s="87"/>
      <c r="LOW20" s="87"/>
      <c r="LOX20" s="87"/>
      <c r="LOY20" s="87"/>
      <c r="LOZ20" s="87"/>
      <c r="LPA20" s="87"/>
      <c r="LPB20" s="87"/>
      <c r="LPC20" s="87"/>
      <c r="LPD20" s="87"/>
      <c r="LPE20" s="87"/>
      <c r="LPF20" s="87"/>
      <c r="LPG20" s="87"/>
      <c r="LPH20" s="87"/>
      <c r="LPI20" s="87"/>
      <c r="LPJ20" s="87"/>
      <c r="LPK20" s="87"/>
      <c r="LPL20" s="87"/>
      <c r="LPM20" s="87"/>
      <c r="LPN20" s="87"/>
      <c r="LPO20" s="87"/>
      <c r="LPP20" s="87"/>
      <c r="LPQ20" s="87"/>
      <c r="LPR20" s="87"/>
      <c r="LPS20" s="87"/>
      <c r="LPT20" s="87"/>
      <c r="LPU20" s="87"/>
      <c r="LPV20" s="87"/>
      <c r="LPW20" s="87"/>
      <c r="LPX20" s="87"/>
      <c r="LPY20" s="87"/>
      <c r="LPZ20" s="87"/>
      <c r="LQA20" s="87"/>
      <c r="LQB20" s="87"/>
      <c r="LQC20" s="87"/>
      <c r="LQD20" s="87"/>
      <c r="LQE20" s="87"/>
      <c r="LQF20" s="87"/>
      <c r="LQG20" s="87"/>
      <c r="LQH20" s="87"/>
      <c r="LQI20" s="87"/>
      <c r="LQJ20" s="87"/>
      <c r="LQK20" s="87"/>
      <c r="LQL20" s="87"/>
      <c r="LQM20" s="87"/>
      <c r="LQN20" s="87"/>
      <c r="LQO20" s="87"/>
      <c r="LQP20" s="87"/>
      <c r="LQQ20" s="87"/>
      <c r="LQR20" s="87"/>
      <c r="LQS20" s="87"/>
      <c r="LQT20" s="87"/>
      <c r="LQU20" s="87"/>
      <c r="LQV20" s="87"/>
      <c r="LQW20" s="87"/>
      <c r="LQX20" s="87"/>
      <c r="LQY20" s="87"/>
      <c r="LQZ20" s="87"/>
      <c r="LRA20" s="87"/>
      <c r="LRB20" s="87"/>
      <c r="LRC20" s="87"/>
      <c r="LRD20" s="87"/>
      <c r="LRE20" s="87"/>
      <c r="LRF20" s="87"/>
      <c r="LRG20" s="87"/>
      <c r="LRH20" s="87"/>
      <c r="LRI20" s="87"/>
      <c r="LRJ20" s="87"/>
      <c r="LRK20" s="87"/>
      <c r="LRL20" s="87"/>
      <c r="LRM20" s="87"/>
      <c r="LRN20" s="87"/>
      <c r="LRO20" s="87"/>
      <c r="LRP20" s="87"/>
      <c r="LRQ20" s="87"/>
      <c r="LRR20" s="87"/>
      <c r="LRS20" s="87"/>
      <c r="LRT20" s="87"/>
      <c r="LRU20" s="87"/>
      <c r="LRV20" s="87"/>
      <c r="LRW20" s="87"/>
      <c r="LRX20" s="87"/>
      <c r="LRY20" s="87"/>
      <c r="LRZ20" s="87"/>
      <c r="LSA20" s="87"/>
      <c r="LSB20" s="87"/>
      <c r="LSC20" s="87"/>
      <c r="LSD20" s="87"/>
      <c r="LSE20" s="87"/>
      <c r="LSF20" s="87"/>
      <c r="LSG20" s="87"/>
      <c r="LSH20" s="87"/>
      <c r="LSI20" s="87"/>
      <c r="LSJ20" s="87"/>
      <c r="LSK20" s="87"/>
      <c r="LSL20" s="87"/>
      <c r="LSM20" s="87"/>
      <c r="LSN20" s="87"/>
      <c r="LSO20" s="87"/>
      <c r="LSP20" s="87"/>
      <c r="LSQ20" s="87"/>
      <c r="LSR20" s="87"/>
      <c r="LSS20" s="87"/>
      <c r="LST20" s="87"/>
      <c r="LSU20" s="87"/>
      <c r="LSV20" s="87"/>
      <c r="LSW20" s="87"/>
      <c r="LSX20" s="87"/>
      <c r="LSY20" s="87"/>
      <c r="LSZ20" s="87"/>
      <c r="LTA20" s="87"/>
      <c r="LTB20" s="87"/>
      <c r="LTC20" s="87"/>
      <c r="LTD20" s="87"/>
      <c r="LTE20" s="87"/>
      <c r="LTF20" s="87"/>
      <c r="LTG20" s="87"/>
      <c r="LTH20" s="87"/>
      <c r="LTI20" s="87"/>
      <c r="LTJ20" s="87"/>
      <c r="LTK20" s="87"/>
      <c r="LTL20" s="87"/>
      <c r="LTM20" s="87"/>
      <c r="LTN20" s="87"/>
      <c r="LTO20" s="87"/>
      <c r="LTP20" s="87"/>
      <c r="LTQ20" s="87"/>
      <c r="LTR20" s="87"/>
      <c r="LTS20" s="87"/>
      <c r="LTT20" s="87"/>
      <c r="LTU20" s="87"/>
      <c r="LTV20" s="87"/>
      <c r="LTW20" s="87"/>
      <c r="LTX20" s="87"/>
      <c r="LTY20" s="87"/>
      <c r="LTZ20" s="87"/>
      <c r="LUA20" s="87"/>
      <c r="LUB20" s="87"/>
      <c r="LUC20" s="87"/>
      <c r="LUD20" s="87"/>
      <c r="LUE20" s="87"/>
      <c r="LUF20" s="87"/>
      <c r="LUG20" s="87"/>
      <c r="LUH20" s="87"/>
      <c r="LUI20" s="87"/>
      <c r="LUJ20" s="87"/>
      <c r="LUK20" s="87"/>
      <c r="LUL20" s="87"/>
      <c r="LUM20" s="87"/>
      <c r="LUN20" s="87"/>
      <c r="LUO20" s="87"/>
      <c r="LUP20" s="87"/>
      <c r="LUQ20" s="87"/>
      <c r="LUR20" s="87"/>
      <c r="LUS20" s="87"/>
      <c r="LUT20" s="87"/>
      <c r="LUU20" s="87"/>
      <c r="LUV20" s="87"/>
      <c r="LUW20" s="87"/>
      <c r="LUX20" s="87"/>
      <c r="LUY20" s="87"/>
      <c r="LUZ20" s="87"/>
      <c r="LVA20" s="87"/>
      <c r="LVB20" s="87"/>
      <c r="LVC20" s="87"/>
      <c r="LVD20" s="87"/>
      <c r="LVE20" s="87"/>
      <c r="LVF20" s="87"/>
      <c r="LVG20" s="87"/>
      <c r="LVH20" s="87"/>
      <c r="LVI20" s="87"/>
      <c r="LVJ20" s="87"/>
      <c r="LVK20" s="87"/>
      <c r="LVL20" s="87"/>
      <c r="LVM20" s="87"/>
      <c r="LVN20" s="87"/>
      <c r="LVO20" s="87"/>
      <c r="LVP20" s="87"/>
      <c r="LVQ20" s="87"/>
      <c r="LVR20" s="87"/>
      <c r="LVS20" s="87"/>
      <c r="LVT20" s="87"/>
      <c r="LVU20" s="87"/>
      <c r="LVV20" s="87"/>
      <c r="LVW20" s="87"/>
      <c r="LVX20" s="87"/>
      <c r="LVY20" s="87"/>
      <c r="LVZ20" s="87"/>
      <c r="LWA20" s="87"/>
      <c r="LWB20" s="87"/>
      <c r="LWC20" s="87"/>
      <c r="LWD20" s="87"/>
      <c r="LWE20" s="87"/>
      <c r="LWF20" s="87"/>
      <c r="LWG20" s="87"/>
      <c r="LWH20" s="87"/>
      <c r="LWI20" s="87"/>
      <c r="LWJ20" s="87"/>
      <c r="LWK20" s="87"/>
      <c r="LWL20" s="87"/>
      <c r="LWM20" s="87"/>
      <c r="LWN20" s="87"/>
      <c r="LWO20" s="87"/>
      <c r="LWP20" s="87"/>
      <c r="LWQ20" s="87"/>
      <c r="LWR20" s="87"/>
      <c r="LWS20" s="87"/>
      <c r="LWT20" s="87"/>
      <c r="LWU20" s="87"/>
      <c r="LWV20" s="87"/>
      <c r="LWW20" s="87"/>
      <c r="LWX20" s="87"/>
      <c r="LWY20" s="87"/>
      <c r="LWZ20" s="87"/>
      <c r="LXA20" s="87"/>
      <c r="LXB20" s="87"/>
      <c r="LXC20" s="87"/>
      <c r="LXD20" s="87"/>
      <c r="LXE20" s="87"/>
      <c r="LXF20" s="87"/>
      <c r="LXG20" s="87"/>
      <c r="LXH20" s="87"/>
      <c r="LXI20" s="87"/>
      <c r="LXJ20" s="87"/>
      <c r="LXK20" s="87"/>
      <c r="LXL20" s="87"/>
      <c r="LXM20" s="87"/>
      <c r="LXN20" s="87"/>
      <c r="LXO20" s="87"/>
      <c r="LXP20" s="87"/>
      <c r="LXQ20" s="87"/>
      <c r="LXR20" s="87"/>
      <c r="LXS20" s="87"/>
      <c r="LXT20" s="87"/>
      <c r="LXU20" s="87"/>
      <c r="LXV20" s="87"/>
      <c r="LXW20" s="87"/>
      <c r="LXX20" s="87"/>
      <c r="LXY20" s="87"/>
      <c r="LXZ20" s="87"/>
      <c r="LYA20" s="87"/>
      <c r="LYB20" s="87"/>
      <c r="LYC20" s="87"/>
      <c r="LYD20" s="87"/>
      <c r="LYE20" s="87"/>
      <c r="LYF20" s="87"/>
      <c r="LYG20" s="87"/>
      <c r="LYH20" s="87"/>
      <c r="LYI20" s="87"/>
      <c r="LYJ20" s="87"/>
      <c r="LYK20" s="87"/>
      <c r="LYL20" s="87"/>
      <c r="LYM20" s="87"/>
      <c r="LYN20" s="87"/>
      <c r="LYO20" s="87"/>
      <c r="LYP20" s="87"/>
      <c r="LYQ20" s="87"/>
      <c r="LYR20" s="87"/>
      <c r="LYS20" s="87"/>
      <c r="LYT20" s="87"/>
      <c r="LYU20" s="87"/>
      <c r="LYV20" s="87"/>
      <c r="LYW20" s="87"/>
      <c r="LYX20" s="87"/>
      <c r="LYY20" s="87"/>
      <c r="LYZ20" s="87"/>
      <c r="LZA20" s="87"/>
      <c r="LZB20" s="87"/>
      <c r="LZC20" s="87"/>
      <c r="LZD20" s="87"/>
      <c r="LZE20" s="87"/>
      <c r="LZF20" s="87"/>
      <c r="LZG20" s="87"/>
      <c r="LZH20" s="87"/>
      <c r="LZI20" s="87"/>
      <c r="LZJ20" s="87"/>
      <c r="LZK20" s="87"/>
      <c r="LZL20" s="87"/>
      <c r="LZM20" s="87"/>
      <c r="LZN20" s="87"/>
      <c r="LZO20" s="87"/>
      <c r="LZP20" s="87"/>
      <c r="LZQ20" s="87"/>
      <c r="LZR20" s="87"/>
      <c r="LZS20" s="87"/>
      <c r="LZT20" s="87"/>
      <c r="LZU20" s="87"/>
      <c r="LZV20" s="87"/>
      <c r="LZW20" s="87"/>
      <c r="LZX20" s="87"/>
      <c r="LZY20" s="87"/>
      <c r="LZZ20" s="87"/>
      <c r="MAA20" s="87"/>
      <c r="MAB20" s="87"/>
      <c r="MAC20" s="87"/>
      <c r="MAD20" s="87"/>
      <c r="MAE20" s="87"/>
      <c r="MAF20" s="87"/>
      <c r="MAG20" s="87"/>
      <c r="MAH20" s="87"/>
      <c r="MAI20" s="87"/>
      <c r="MAJ20" s="87"/>
      <c r="MAK20" s="87"/>
      <c r="MAL20" s="87"/>
      <c r="MAM20" s="87"/>
      <c r="MAN20" s="87"/>
      <c r="MAO20" s="87"/>
      <c r="MAP20" s="87"/>
      <c r="MAQ20" s="87"/>
      <c r="MAR20" s="87"/>
      <c r="MAS20" s="87"/>
      <c r="MAT20" s="87"/>
      <c r="MAU20" s="87"/>
      <c r="MAV20" s="87"/>
      <c r="MAW20" s="87"/>
      <c r="MAX20" s="87"/>
      <c r="MAY20" s="87"/>
      <c r="MAZ20" s="87"/>
      <c r="MBA20" s="87"/>
      <c r="MBB20" s="87"/>
      <c r="MBC20" s="87"/>
      <c r="MBD20" s="87"/>
      <c r="MBE20" s="87"/>
      <c r="MBF20" s="87"/>
      <c r="MBG20" s="87"/>
      <c r="MBH20" s="87"/>
      <c r="MBI20" s="87"/>
      <c r="MBJ20" s="87"/>
      <c r="MBK20" s="87"/>
      <c r="MBL20" s="87"/>
      <c r="MBM20" s="87"/>
      <c r="MBN20" s="87"/>
      <c r="MBO20" s="87"/>
      <c r="MBP20" s="87"/>
      <c r="MBQ20" s="87"/>
      <c r="MBR20" s="87"/>
      <c r="MBS20" s="87"/>
      <c r="MBT20" s="87"/>
      <c r="MBU20" s="87"/>
      <c r="MBV20" s="87"/>
      <c r="MBW20" s="87"/>
      <c r="MBX20" s="87"/>
      <c r="MBY20" s="87"/>
      <c r="MBZ20" s="87"/>
      <c r="MCA20" s="87"/>
      <c r="MCB20" s="87"/>
      <c r="MCC20" s="87"/>
      <c r="MCD20" s="87"/>
      <c r="MCE20" s="87"/>
      <c r="MCF20" s="87"/>
      <c r="MCG20" s="87"/>
      <c r="MCH20" s="87"/>
      <c r="MCI20" s="87"/>
      <c r="MCJ20" s="87"/>
      <c r="MCK20" s="87"/>
      <c r="MCL20" s="87"/>
      <c r="MCM20" s="87"/>
      <c r="MCN20" s="87"/>
      <c r="MCO20" s="87"/>
      <c r="MCP20" s="87"/>
      <c r="MCQ20" s="87"/>
      <c r="MCR20" s="87"/>
      <c r="MCS20" s="87"/>
      <c r="MCT20" s="87"/>
      <c r="MCU20" s="87"/>
      <c r="MCV20" s="87"/>
      <c r="MCW20" s="87"/>
      <c r="MCX20" s="87"/>
      <c r="MCY20" s="87"/>
      <c r="MCZ20" s="87"/>
      <c r="MDA20" s="87"/>
      <c r="MDB20" s="87"/>
      <c r="MDC20" s="87"/>
      <c r="MDD20" s="87"/>
      <c r="MDE20" s="87"/>
      <c r="MDF20" s="87"/>
      <c r="MDG20" s="87"/>
      <c r="MDH20" s="87"/>
      <c r="MDI20" s="87"/>
      <c r="MDJ20" s="87"/>
      <c r="MDK20" s="87"/>
      <c r="MDL20" s="87"/>
      <c r="MDM20" s="87"/>
      <c r="MDN20" s="87"/>
      <c r="MDO20" s="87"/>
      <c r="MDP20" s="87"/>
      <c r="MDQ20" s="87"/>
      <c r="MDR20" s="87"/>
      <c r="MDS20" s="87"/>
      <c r="MDT20" s="87"/>
      <c r="MDU20" s="87"/>
      <c r="MDV20" s="87"/>
      <c r="MDW20" s="87"/>
      <c r="MDX20" s="87"/>
      <c r="MDY20" s="87"/>
      <c r="MDZ20" s="87"/>
      <c r="MEA20" s="87"/>
      <c r="MEB20" s="87"/>
      <c r="MEC20" s="87"/>
      <c r="MED20" s="87"/>
      <c r="MEE20" s="87"/>
      <c r="MEF20" s="87"/>
      <c r="MEG20" s="87"/>
      <c r="MEH20" s="87"/>
      <c r="MEI20" s="87"/>
      <c r="MEJ20" s="87"/>
      <c r="MEK20" s="87"/>
      <c r="MEL20" s="87"/>
      <c r="MEM20" s="87"/>
      <c r="MEN20" s="87"/>
      <c r="MEO20" s="87"/>
      <c r="MEP20" s="87"/>
      <c r="MEQ20" s="87"/>
      <c r="MER20" s="87"/>
      <c r="MES20" s="87"/>
      <c r="MET20" s="87"/>
      <c r="MEU20" s="87"/>
      <c r="MEV20" s="87"/>
      <c r="MEW20" s="87"/>
      <c r="MEX20" s="87"/>
      <c r="MEY20" s="87"/>
      <c r="MEZ20" s="87"/>
      <c r="MFA20" s="87"/>
      <c r="MFB20" s="87"/>
      <c r="MFC20" s="87"/>
      <c r="MFD20" s="87"/>
      <c r="MFE20" s="87"/>
      <c r="MFF20" s="87"/>
      <c r="MFG20" s="87"/>
      <c r="MFH20" s="87"/>
      <c r="MFI20" s="87"/>
      <c r="MFJ20" s="87"/>
      <c r="MFK20" s="87"/>
      <c r="MFL20" s="87"/>
      <c r="MFM20" s="87"/>
      <c r="MFN20" s="87"/>
      <c r="MFO20" s="87"/>
      <c r="MFP20" s="87"/>
      <c r="MFQ20" s="87"/>
      <c r="MFR20" s="87"/>
      <c r="MFS20" s="87"/>
      <c r="MFT20" s="87"/>
      <c r="MFU20" s="87"/>
      <c r="MFV20" s="87"/>
      <c r="MFW20" s="87"/>
      <c r="MFX20" s="87"/>
      <c r="MFY20" s="87"/>
      <c r="MFZ20" s="87"/>
      <c r="MGA20" s="87"/>
      <c r="MGB20" s="87"/>
      <c r="MGC20" s="87"/>
      <c r="MGD20" s="87"/>
      <c r="MGE20" s="87"/>
      <c r="MGF20" s="87"/>
      <c r="MGG20" s="87"/>
      <c r="MGH20" s="87"/>
      <c r="MGI20" s="87"/>
      <c r="MGJ20" s="87"/>
      <c r="MGK20" s="87"/>
      <c r="MGL20" s="87"/>
      <c r="MGM20" s="87"/>
      <c r="MGN20" s="87"/>
      <c r="MGO20" s="87"/>
      <c r="MGP20" s="87"/>
      <c r="MGQ20" s="87"/>
      <c r="MGR20" s="87"/>
      <c r="MGS20" s="87"/>
      <c r="MGT20" s="87"/>
      <c r="MGU20" s="87"/>
      <c r="MGV20" s="87"/>
      <c r="MGW20" s="87"/>
      <c r="MGX20" s="87"/>
      <c r="MGY20" s="87"/>
      <c r="MGZ20" s="87"/>
      <c r="MHA20" s="87"/>
      <c r="MHB20" s="87"/>
      <c r="MHC20" s="87"/>
      <c r="MHD20" s="87"/>
      <c r="MHE20" s="87"/>
      <c r="MHF20" s="87"/>
      <c r="MHG20" s="87"/>
      <c r="MHH20" s="87"/>
      <c r="MHI20" s="87"/>
      <c r="MHJ20" s="87"/>
      <c r="MHK20" s="87"/>
      <c r="MHL20" s="87"/>
      <c r="MHM20" s="87"/>
      <c r="MHN20" s="87"/>
      <c r="MHO20" s="87"/>
      <c r="MHP20" s="87"/>
      <c r="MHQ20" s="87"/>
      <c r="MHR20" s="87"/>
      <c r="MHS20" s="87"/>
      <c r="MHT20" s="87"/>
      <c r="MHU20" s="87"/>
      <c r="MHV20" s="87"/>
      <c r="MHW20" s="87"/>
      <c r="MHX20" s="87"/>
      <c r="MHY20" s="87"/>
      <c r="MHZ20" s="87"/>
      <c r="MIA20" s="87"/>
      <c r="MIB20" s="87"/>
      <c r="MIC20" s="87"/>
      <c r="MID20" s="87"/>
      <c r="MIE20" s="87"/>
      <c r="MIF20" s="87"/>
      <c r="MIG20" s="87"/>
      <c r="MIH20" s="87"/>
      <c r="MII20" s="87"/>
      <c r="MIJ20" s="87"/>
      <c r="MIK20" s="87"/>
      <c r="MIL20" s="87"/>
      <c r="MIM20" s="87"/>
      <c r="MIN20" s="87"/>
      <c r="MIO20" s="87"/>
      <c r="MIP20" s="87"/>
      <c r="MIQ20" s="87"/>
      <c r="MIR20" s="87"/>
      <c r="MIS20" s="87"/>
      <c r="MIT20" s="87"/>
      <c r="MIU20" s="87"/>
      <c r="MIV20" s="87"/>
      <c r="MIW20" s="87"/>
      <c r="MIX20" s="87"/>
      <c r="MIY20" s="87"/>
      <c r="MIZ20" s="87"/>
      <c r="MJA20" s="87"/>
      <c r="MJB20" s="87"/>
      <c r="MJC20" s="87"/>
      <c r="MJD20" s="87"/>
      <c r="MJE20" s="87"/>
      <c r="MJF20" s="87"/>
      <c r="MJG20" s="87"/>
      <c r="MJH20" s="87"/>
      <c r="MJI20" s="87"/>
      <c r="MJJ20" s="87"/>
      <c r="MJK20" s="87"/>
      <c r="MJL20" s="87"/>
      <c r="MJM20" s="87"/>
      <c r="MJN20" s="87"/>
      <c r="MJO20" s="87"/>
      <c r="MJP20" s="87"/>
      <c r="MJQ20" s="87"/>
      <c r="MJR20" s="87"/>
      <c r="MJS20" s="87"/>
      <c r="MJT20" s="87"/>
      <c r="MJU20" s="87"/>
      <c r="MJV20" s="87"/>
      <c r="MJW20" s="87"/>
      <c r="MJX20" s="87"/>
      <c r="MJY20" s="87"/>
      <c r="MJZ20" s="87"/>
      <c r="MKA20" s="87"/>
      <c r="MKB20" s="87"/>
      <c r="MKC20" s="87"/>
      <c r="MKD20" s="87"/>
      <c r="MKE20" s="87"/>
      <c r="MKF20" s="87"/>
      <c r="MKG20" s="87"/>
      <c r="MKH20" s="87"/>
      <c r="MKI20" s="87"/>
      <c r="MKJ20" s="87"/>
      <c r="MKK20" s="87"/>
      <c r="MKL20" s="87"/>
      <c r="MKM20" s="87"/>
      <c r="MKN20" s="87"/>
      <c r="MKO20" s="87"/>
      <c r="MKP20" s="87"/>
      <c r="MKQ20" s="87"/>
      <c r="MKR20" s="87"/>
      <c r="MKS20" s="87"/>
      <c r="MKT20" s="87"/>
      <c r="MKU20" s="87"/>
      <c r="MKV20" s="87"/>
      <c r="MKW20" s="87"/>
      <c r="MKX20" s="87"/>
      <c r="MKY20" s="87"/>
      <c r="MKZ20" s="87"/>
      <c r="MLA20" s="87"/>
      <c r="MLB20" s="87"/>
      <c r="MLC20" s="87"/>
      <c r="MLD20" s="87"/>
      <c r="MLE20" s="87"/>
      <c r="MLF20" s="87"/>
      <c r="MLG20" s="87"/>
      <c r="MLH20" s="87"/>
      <c r="MLI20" s="87"/>
      <c r="MLJ20" s="87"/>
      <c r="MLK20" s="87"/>
      <c r="MLL20" s="87"/>
      <c r="MLM20" s="87"/>
      <c r="MLN20" s="87"/>
      <c r="MLO20" s="87"/>
      <c r="MLP20" s="87"/>
      <c r="MLQ20" s="87"/>
      <c r="MLR20" s="87"/>
      <c r="MLS20" s="87"/>
      <c r="MLT20" s="87"/>
      <c r="MLU20" s="87"/>
      <c r="MLV20" s="87"/>
      <c r="MLW20" s="87"/>
      <c r="MLX20" s="87"/>
      <c r="MLY20" s="87"/>
      <c r="MLZ20" s="87"/>
      <c r="MMA20" s="87"/>
      <c r="MMB20" s="87"/>
      <c r="MMC20" s="87"/>
      <c r="MMD20" s="87"/>
      <c r="MME20" s="87"/>
      <c r="MMF20" s="87"/>
      <c r="MMG20" s="87"/>
      <c r="MMH20" s="87"/>
      <c r="MMI20" s="87"/>
      <c r="MMJ20" s="87"/>
      <c r="MMK20" s="87"/>
      <c r="MML20" s="87"/>
      <c r="MMM20" s="87"/>
      <c r="MMN20" s="87"/>
      <c r="MMO20" s="87"/>
      <c r="MMP20" s="87"/>
      <c r="MMQ20" s="87"/>
      <c r="MMR20" s="87"/>
      <c r="MMS20" s="87"/>
      <c r="MMT20" s="87"/>
      <c r="MMU20" s="87"/>
      <c r="MMV20" s="87"/>
      <c r="MMW20" s="87"/>
      <c r="MMX20" s="87"/>
      <c r="MMY20" s="87"/>
      <c r="MMZ20" s="87"/>
      <c r="MNA20" s="87"/>
      <c r="MNB20" s="87"/>
      <c r="MNC20" s="87"/>
      <c r="MND20" s="87"/>
      <c r="MNE20" s="87"/>
      <c r="MNF20" s="87"/>
      <c r="MNG20" s="87"/>
      <c r="MNH20" s="87"/>
      <c r="MNI20" s="87"/>
      <c r="MNJ20" s="87"/>
      <c r="MNK20" s="87"/>
      <c r="MNL20" s="87"/>
      <c r="MNM20" s="87"/>
      <c r="MNN20" s="87"/>
      <c r="MNO20" s="87"/>
      <c r="MNP20" s="87"/>
      <c r="MNQ20" s="87"/>
      <c r="MNR20" s="87"/>
      <c r="MNS20" s="87"/>
      <c r="MNT20" s="87"/>
      <c r="MNU20" s="87"/>
      <c r="MNV20" s="87"/>
      <c r="MNW20" s="87"/>
      <c r="MNX20" s="87"/>
      <c r="MNY20" s="87"/>
      <c r="MNZ20" s="87"/>
      <c r="MOA20" s="87"/>
      <c r="MOB20" s="87"/>
      <c r="MOC20" s="87"/>
      <c r="MOD20" s="87"/>
      <c r="MOE20" s="87"/>
      <c r="MOF20" s="87"/>
      <c r="MOG20" s="87"/>
      <c r="MOH20" s="87"/>
      <c r="MOI20" s="87"/>
      <c r="MOJ20" s="87"/>
      <c r="MOK20" s="87"/>
      <c r="MOL20" s="87"/>
      <c r="MOM20" s="87"/>
      <c r="MON20" s="87"/>
      <c r="MOO20" s="87"/>
      <c r="MOP20" s="87"/>
      <c r="MOQ20" s="87"/>
      <c r="MOR20" s="87"/>
      <c r="MOS20" s="87"/>
      <c r="MOT20" s="87"/>
      <c r="MOU20" s="87"/>
      <c r="MOV20" s="87"/>
      <c r="MOW20" s="87"/>
      <c r="MOX20" s="87"/>
      <c r="MOY20" s="87"/>
      <c r="MOZ20" s="87"/>
      <c r="MPA20" s="87"/>
      <c r="MPB20" s="87"/>
      <c r="MPC20" s="87"/>
      <c r="MPD20" s="87"/>
      <c r="MPE20" s="87"/>
      <c r="MPF20" s="87"/>
      <c r="MPG20" s="87"/>
      <c r="MPH20" s="87"/>
      <c r="MPI20" s="87"/>
      <c r="MPJ20" s="87"/>
      <c r="MPK20" s="87"/>
      <c r="MPL20" s="87"/>
      <c r="MPM20" s="87"/>
      <c r="MPN20" s="87"/>
      <c r="MPO20" s="87"/>
      <c r="MPP20" s="87"/>
      <c r="MPQ20" s="87"/>
      <c r="MPR20" s="87"/>
      <c r="MPS20" s="87"/>
      <c r="MPT20" s="87"/>
      <c r="MPU20" s="87"/>
      <c r="MPV20" s="87"/>
      <c r="MPW20" s="87"/>
      <c r="MPX20" s="87"/>
      <c r="MPY20" s="87"/>
      <c r="MPZ20" s="87"/>
      <c r="MQA20" s="87"/>
      <c r="MQB20" s="87"/>
      <c r="MQC20" s="87"/>
      <c r="MQD20" s="87"/>
      <c r="MQE20" s="87"/>
      <c r="MQF20" s="87"/>
      <c r="MQG20" s="87"/>
      <c r="MQH20" s="87"/>
      <c r="MQI20" s="87"/>
      <c r="MQJ20" s="87"/>
      <c r="MQK20" s="87"/>
      <c r="MQL20" s="87"/>
      <c r="MQM20" s="87"/>
      <c r="MQN20" s="87"/>
      <c r="MQO20" s="87"/>
      <c r="MQP20" s="87"/>
      <c r="MQQ20" s="87"/>
      <c r="MQR20" s="87"/>
      <c r="MQS20" s="87"/>
      <c r="MQT20" s="87"/>
      <c r="MQU20" s="87"/>
      <c r="MQV20" s="87"/>
      <c r="MQW20" s="87"/>
      <c r="MQX20" s="87"/>
      <c r="MQY20" s="87"/>
      <c r="MQZ20" s="87"/>
      <c r="MRA20" s="87"/>
      <c r="MRB20" s="87"/>
      <c r="MRC20" s="87"/>
      <c r="MRD20" s="87"/>
      <c r="MRE20" s="87"/>
      <c r="MRF20" s="87"/>
      <c r="MRG20" s="87"/>
      <c r="MRH20" s="87"/>
      <c r="MRI20" s="87"/>
      <c r="MRJ20" s="87"/>
      <c r="MRK20" s="87"/>
      <c r="MRL20" s="87"/>
      <c r="MRM20" s="87"/>
      <c r="MRN20" s="87"/>
      <c r="MRO20" s="87"/>
      <c r="MRP20" s="87"/>
      <c r="MRQ20" s="87"/>
      <c r="MRR20" s="87"/>
      <c r="MRS20" s="87"/>
      <c r="MRT20" s="87"/>
      <c r="MRU20" s="87"/>
      <c r="MRV20" s="87"/>
      <c r="MRW20" s="87"/>
      <c r="MRX20" s="87"/>
      <c r="MRY20" s="87"/>
      <c r="MRZ20" s="87"/>
      <c r="MSA20" s="87"/>
      <c r="MSB20" s="87"/>
      <c r="MSC20" s="87"/>
      <c r="MSD20" s="87"/>
      <c r="MSE20" s="87"/>
      <c r="MSF20" s="87"/>
      <c r="MSG20" s="87"/>
      <c r="MSH20" s="87"/>
      <c r="MSI20" s="87"/>
      <c r="MSJ20" s="87"/>
      <c r="MSK20" s="87"/>
      <c r="MSL20" s="87"/>
      <c r="MSM20" s="87"/>
      <c r="MSN20" s="87"/>
      <c r="MSO20" s="87"/>
      <c r="MSP20" s="87"/>
      <c r="MSQ20" s="87"/>
      <c r="MSR20" s="87"/>
      <c r="MSS20" s="87"/>
      <c r="MST20" s="87"/>
      <c r="MSU20" s="87"/>
      <c r="MSV20" s="87"/>
      <c r="MSW20" s="87"/>
      <c r="MSX20" s="87"/>
      <c r="MSY20" s="87"/>
      <c r="MSZ20" s="87"/>
      <c r="MTA20" s="87"/>
      <c r="MTB20" s="87"/>
      <c r="MTC20" s="87"/>
      <c r="MTD20" s="87"/>
      <c r="MTE20" s="87"/>
      <c r="MTF20" s="87"/>
      <c r="MTG20" s="87"/>
      <c r="MTH20" s="87"/>
      <c r="MTI20" s="87"/>
      <c r="MTJ20" s="87"/>
      <c r="MTK20" s="87"/>
      <c r="MTL20" s="87"/>
      <c r="MTM20" s="87"/>
      <c r="MTN20" s="87"/>
      <c r="MTO20" s="87"/>
      <c r="MTP20" s="87"/>
      <c r="MTQ20" s="87"/>
      <c r="MTR20" s="87"/>
      <c r="MTS20" s="87"/>
      <c r="MTT20" s="87"/>
      <c r="MTU20" s="87"/>
      <c r="MTV20" s="87"/>
      <c r="MTW20" s="87"/>
      <c r="MTX20" s="87"/>
      <c r="MTY20" s="87"/>
      <c r="MTZ20" s="87"/>
      <c r="MUA20" s="87"/>
      <c r="MUB20" s="87"/>
      <c r="MUC20" s="87"/>
      <c r="MUD20" s="87"/>
      <c r="MUE20" s="87"/>
      <c r="MUF20" s="87"/>
      <c r="MUG20" s="87"/>
      <c r="MUH20" s="87"/>
      <c r="MUI20" s="87"/>
      <c r="MUJ20" s="87"/>
      <c r="MUK20" s="87"/>
      <c r="MUL20" s="87"/>
      <c r="MUM20" s="87"/>
      <c r="MUN20" s="87"/>
      <c r="MUO20" s="87"/>
      <c r="MUP20" s="87"/>
      <c r="MUQ20" s="87"/>
      <c r="MUR20" s="87"/>
      <c r="MUS20" s="87"/>
      <c r="MUT20" s="87"/>
      <c r="MUU20" s="87"/>
      <c r="MUV20" s="87"/>
      <c r="MUW20" s="87"/>
      <c r="MUX20" s="87"/>
      <c r="MUY20" s="87"/>
      <c r="MUZ20" s="87"/>
      <c r="MVA20" s="87"/>
      <c r="MVB20" s="87"/>
      <c r="MVC20" s="87"/>
      <c r="MVD20" s="87"/>
      <c r="MVE20" s="87"/>
      <c r="MVF20" s="87"/>
      <c r="MVG20" s="87"/>
      <c r="MVH20" s="87"/>
      <c r="MVI20" s="87"/>
      <c r="MVJ20" s="87"/>
      <c r="MVK20" s="87"/>
      <c r="MVL20" s="87"/>
      <c r="MVM20" s="87"/>
      <c r="MVN20" s="87"/>
      <c r="MVO20" s="87"/>
      <c r="MVP20" s="87"/>
      <c r="MVQ20" s="87"/>
      <c r="MVR20" s="87"/>
      <c r="MVS20" s="87"/>
      <c r="MVT20" s="87"/>
      <c r="MVU20" s="87"/>
      <c r="MVV20" s="87"/>
      <c r="MVW20" s="87"/>
      <c r="MVX20" s="87"/>
      <c r="MVY20" s="87"/>
      <c r="MVZ20" s="87"/>
      <c r="MWA20" s="87"/>
      <c r="MWB20" s="87"/>
      <c r="MWC20" s="87"/>
      <c r="MWD20" s="87"/>
      <c r="MWE20" s="87"/>
      <c r="MWF20" s="87"/>
      <c r="MWG20" s="87"/>
      <c r="MWH20" s="87"/>
      <c r="MWI20" s="87"/>
      <c r="MWJ20" s="87"/>
      <c r="MWK20" s="87"/>
      <c r="MWL20" s="87"/>
      <c r="MWM20" s="87"/>
      <c r="MWN20" s="87"/>
      <c r="MWO20" s="87"/>
      <c r="MWP20" s="87"/>
      <c r="MWQ20" s="87"/>
      <c r="MWR20" s="87"/>
      <c r="MWS20" s="87"/>
      <c r="MWT20" s="87"/>
      <c r="MWU20" s="87"/>
      <c r="MWV20" s="87"/>
      <c r="MWW20" s="87"/>
      <c r="MWX20" s="87"/>
      <c r="MWY20" s="87"/>
      <c r="MWZ20" s="87"/>
      <c r="MXA20" s="87"/>
      <c r="MXB20" s="87"/>
      <c r="MXC20" s="87"/>
      <c r="MXD20" s="87"/>
      <c r="MXE20" s="87"/>
      <c r="MXF20" s="87"/>
      <c r="MXG20" s="87"/>
      <c r="MXH20" s="87"/>
      <c r="MXI20" s="87"/>
      <c r="MXJ20" s="87"/>
      <c r="MXK20" s="87"/>
      <c r="MXL20" s="87"/>
      <c r="MXM20" s="87"/>
      <c r="MXN20" s="87"/>
      <c r="MXO20" s="87"/>
      <c r="MXP20" s="87"/>
      <c r="MXQ20" s="87"/>
      <c r="MXR20" s="87"/>
      <c r="MXS20" s="87"/>
      <c r="MXT20" s="87"/>
      <c r="MXU20" s="87"/>
      <c r="MXV20" s="87"/>
      <c r="MXW20" s="87"/>
      <c r="MXX20" s="87"/>
      <c r="MXY20" s="87"/>
      <c r="MXZ20" s="87"/>
      <c r="MYA20" s="87"/>
      <c r="MYB20" s="87"/>
      <c r="MYC20" s="87"/>
      <c r="MYD20" s="87"/>
      <c r="MYE20" s="87"/>
      <c r="MYF20" s="87"/>
      <c r="MYG20" s="87"/>
      <c r="MYH20" s="87"/>
      <c r="MYI20" s="87"/>
      <c r="MYJ20" s="87"/>
      <c r="MYK20" s="87"/>
      <c r="MYL20" s="87"/>
      <c r="MYM20" s="87"/>
      <c r="MYN20" s="87"/>
      <c r="MYO20" s="87"/>
      <c r="MYP20" s="87"/>
      <c r="MYQ20" s="87"/>
      <c r="MYR20" s="87"/>
      <c r="MYS20" s="87"/>
      <c r="MYT20" s="87"/>
      <c r="MYU20" s="87"/>
      <c r="MYV20" s="87"/>
      <c r="MYW20" s="87"/>
      <c r="MYX20" s="87"/>
      <c r="MYY20" s="87"/>
      <c r="MYZ20" s="87"/>
      <c r="MZA20" s="87"/>
      <c r="MZB20" s="87"/>
      <c r="MZC20" s="87"/>
      <c r="MZD20" s="87"/>
      <c r="MZE20" s="87"/>
      <c r="MZF20" s="87"/>
      <c r="MZG20" s="87"/>
      <c r="MZH20" s="87"/>
      <c r="MZI20" s="87"/>
      <c r="MZJ20" s="87"/>
      <c r="MZK20" s="87"/>
      <c r="MZL20" s="87"/>
      <c r="MZM20" s="87"/>
      <c r="MZN20" s="87"/>
      <c r="MZO20" s="87"/>
      <c r="MZP20" s="87"/>
      <c r="MZQ20" s="87"/>
      <c r="MZR20" s="87"/>
      <c r="MZS20" s="87"/>
      <c r="MZT20" s="87"/>
      <c r="MZU20" s="87"/>
      <c r="MZV20" s="87"/>
      <c r="MZW20" s="87"/>
      <c r="MZX20" s="87"/>
      <c r="MZY20" s="87"/>
      <c r="MZZ20" s="87"/>
      <c r="NAA20" s="87"/>
      <c r="NAB20" s="87"/>
      <c r="NAC20" s="87"/>
      <c r="NAD20" s="87"/>
      <c r="NAE20" s="87"/>
      <c r="NAF20" s="87"/>
      <c r="NAG20" s="87"/>
      <c r="NAH20" s="87"/>
      <c r="NAI20" s="87"/>
      <c r="NAJ20" s="87"/>
      <c r="NAK20" s="87"/>
      <c r="NAL20" s="87"/>
      <c r="NAM20" s="87"/>
      <c r="NAN20" s="87"/>
      <c r="NAO20" s="87"/>
      <c r="NAP20" s="87"/>
      <c r="NAQ20" s="87"/>
      <c r="NAR20" s="87"/>
      <c r="NAS20" s="87"/>
      <c r="NAT20" s="87"/>
      <c r="NAU20" s="87"/>
      <c r="NAV20" s="87"/>
      <c r="NAW20" s="87"/>
      <c r="NAX20" s="87"/>
      <c r="NAY20" s="87"/>
      <c r="NAZ20" s="87"/>
      <c r="NBA20" s="87"/>
      <c r="NBB20" s="87"/>
      <c r="NBC20" s="87"/>
      <c r="NBD20" s="87"/>
      <c r="NBE20" s="87"/>
      <c r="NBF20" s="87"/>
      <c r="NBG20" s="87"/>
      <c r="NBH20" s="87"/>
      <c r="NBI20" s="87"/>
      <c r="NBJ20" s="87"/>
      <c r="NBK20" s="87"/>
      <c r="NBL20" s="87"/>
      <c r="NBM20" s="87"/>
      <c r="NBN20" s="87"/>
      <c r="NBO20" s="87"/>
      <c r="NBP20" s="87"/>
      <c r="NBQ20" s="87"/>
      <c r="NBR20" s="87"/>
      <c r="NBS20" s="87"/>
      <c r="NBT20" s="87"/>
      <c r="NBU20" s="87"/>
      <c r="NBV20" s="87"/>
      <c r="NBW20" s="87"/>
      <c r="NBX20" s="87"/>
      <c r="NBY20" s="87"/>
      <c r="NBZ20" s="87"/>
      <c r="NCA20" s="87"/>
      <c r="NCB20" s="87"/>
      <c r="NCC20" s="87"/>
      <c r="NCD20" s="87"/>
      <c r="NCE20" s="87"/>
      <c r="NCF20" s="87"/>
      <c r="NCG20" s="87"/>
      <c r="NCH20" s="87"/>
      <c r="NCI20" s="87"/>
      <c r="NCJ20" s="87"/>
      <c r="NCK20" s="87"/>
      <c r="NCL20" s="87"/>
      <c r="NCM20" s="87"/>
      <c r="NCN20" s="87"/>
      <c r="NCO20" s="87"/>
      <c r="NCP20" s="87"/>
      <c r="NCQ20" s="87"/>
      <c r="NCR20" s="87"/>
      <c r="NCS20" s="87"/>
      <c r="NCT20" s="87"/>
      <c r="NCU20" s="87"/>
      <c r="NCV20" s="87"/>
      <c r="NCW20" s="87"/>
      <c r="NCX20" s="87"/>
      <c r="NCY20" s="87"/>
      <c r="NCZ20" s="87"/>
      <c r="NDA20" s="87"/>
      <c r="NDB20" s="87"/>
      <c r="NDC20" s="87"/>
      <c r="NDD20" s="87"/>
      <c r="NDE20" s="87"/>
      <c r="NDF20" s="87"/>
      <c r="NDG20" s="87"/>
      <c r="NDH20" s="87"/>
      <c r="NDI20" s="87"/>
      <c r="NDJ20" s="87"/>
      <c r="NDK20" s="87"/>
      <c r="NDL20" s="87"/>
      <c r="NDM20" s="87"/>
      <c r="NDN20" s="87"/>
      <c r="NDO20" s="87"/>
      <c r="NDP20" s="87"/>
      <c r="NDQ20" s="87"/>
      <c r="NDR20" s="87"/>
      <c r="NDS20" s="87"/>
      <c r="NDT20" s="87"/>
      <c r="NDU20" s="87"/>
      <c r="NDV20" s="87"/>
      <c r="NDW20" s="87"/>
      <c r="NDX20" s="87"/>
      <c r="NDY20" s="87"/>
      <c r="NDZ20" s="87"/>
      <c r="NEA20" s="87"/>
      <c r="NEB20" s="87"/>
      <c r="NEC20" s="87"/>
      <c r="NED20" s="87"/>
      <c r="NEE20" s="87"/>
      <c r="NEF20" s="87"/>
      <c r="NEG20" s="87"/>
      <c r="NEH20" s="87"/>
      <c r="NEI20" s="87"/>
      <c r="NEJ20" s="87"/>
      <c r="NEK20" s="87"/>
      <c r="NEL20" s="87"/>
      <c r="NEM20" s="87"/>
      <c r="NEN20" s="87"/>
      <c r="NEO20" s="87"/>
      <c r="NEP20" s="87"/>
      <c r="NEQ20" s="87"/>
      <c r="NER20" s="87"/>
      <c r="NES20" s="87"/>
      <c r="NET20" s="87"/>
      <c r="NEU20" s="87"/>
      <c r="NEV20" s="87"/>
      <c r="NEW20" s="87"/>
      <c r="NEX20" s="87"/>
      <c r="NEY20" s="87"/>
      <c r="NEZ20" s="87"/>
      <c r="NFA20" s="87"/>
      <c r="NFB20" s="87"/>
      <c r="NFC20" s="87"/>
      <c r="NFD20" s="87"/>
      <c r="NFE20" s="87"/>
      <c r="NFF20" s="87"/>
      <c r="NFG20" s="87"/>
      <c r="NFH20" s="87"/>
      <c r="NFI20" s="87"/>
      <c r="NFJ20" s="87"/>
      <c r="NFK20" s="87"/>
      <c r="NFL20" s="87"/>
      <c r="NFM20" s="87"/>
      <c r="NFN20" s="87"/>
      <c r="NFO20" s="87"/>
      <c r="NFP20" s="87"/>
      <c r="NFQ20" s="87"/>
      <c r="NFR20" s="87"/>
      <c r="NFS20" s="87"/>
      <c r="NFT20" s="87"/>
      <c r="NFU20" s="87"/>
      <c r="NFV20" s="87"/>
      <c r="NFW20" s="87"/>
      <c r="NFX20" s="87"/>
      <c r="NFY20" s="87"/>
      <c r="NFZ20" s="87"/>
      <c r="NGA20" s="87"/>
      <c r="NGB20" s="87"/>
      <c r="NGC20" s="87"/>
      <c r="NGD20" s="87"/>
      <c r="NGE20" s="87"/>
      <c r="NGF20" s="87"/>
      <c r="NGG20" s="87"/>
      <c r="NGH20" s="87"/>
      <c r="NGI20" s="87"/>
      <c r="NGJ20" s="87"/>
      <c r="NGK20" s="87"/>
      <c r="NGL20" s="87"/>
      <c r="NGM20" s="87"/>
      <c r="NGN20" s="87"/>
      <c r="NGO20" s="87"/>
      <c r="NGP20" s="87"/>
      <c r="NGQ20" s="87"/>
      <c r="NGR20" s="87"/>
      <c r="NGS20" s="87"/>
      <c r="NGT20" s="87"/>
      <c r="NGU20" s="87"/>
      <c r="NGV20" s="87"/>
      <c r="NGW20" s="87"/>
      <c r="NGX20" s="87"/>
      <c r="NGY20" s="87"/>
      <c r="NGZ20" s="87"/>
      <c r="NHA20" s="87"/>
      <c r="NHB20" s="87"/>
      <c r="NHC20" s="87"/>
      <c r="NHD20" s="87"/>
      <c r="NHE20" s="87"/>
      <c r="NHF20" s="87"/>
      <c r="NHG20" s="87"/>
      <c r="NHH20" s="87"/>
      <c r="NHI20" s="87"/>
      <c r="NHJ20" s="87"/>
      <c r="NHK20" s="87"/>
      <c r="NHL20" s="87"/>
      <c r="NHM20" s="87"/>
      <c r="NHN20" s="87"/>
      <c r="NHO20" s="87"/>
      <c r="NHP20" s="87"/>
      <c r="NHQ20" s="87"/>
      <c r="NHR20" s="87"/>
      <c r="NHS20" s="87"/>
      <c r="NHT20" s="87"/>
      <c r="NHU20" s="87"/>
      <c r="NHV20" s="87"/>
      <c r="NHW20" s="87"/>
      <c r="NHX20" s="87"/>
      <c r="NHY20" s="87"/>
      <c r="NHZ20" s="87"/>
      <c r="NIA20" s="87"/>
      <c r="NIB20" s="87"/>
      <c r="NIC20" s="87"/>
      <c r="NID20" s="87"/>
      <c r="NIE20" s="87"/>
      <c r="NIF20" s="87"/>
      <c r="NIG20" s="87"/>
      <c r="NIH20" s="87"/>
      <c r="NII20" s="87"/>
      <c r="NIJ20" s="87"/>
      <c r="NIK20" s="87"/>
      <c r="NIL20" s="87"/>
      <c r="NIM20" s="87"/>
      <c r="NIN20" s="87"/>
      <c r="NIO20" s="87"/>
      <c r="NIP20" s="87"/>
      <c r="NIQ20" s="87"/>
      <c r="NIR20" s="87"/>
      <c r="NIS20" s="87"/>
      <c r="NIT20" s="87"/>
      <c r="NIU20" s="87"/>
      <c r="NIV20" s="87"/>
      <c r="NIW20" s="87"/>
      <c r="NIX20" s="87"/>
      <c r="NIY20" s="87"/>
      <c r="NIZ20" s="87"/>
      <c r="NJA20" s="87"/>
      <c r="NJB20" s="87"/>
      <c r="NJC20" s="87"/>
      <c r="NJD20" s="87"/>
      <c r="NJE20" s="87"/>
      <c r="NJF20" s="87"/>
      <c r="NJG20" s="87"/>
      <c r="NJH20" s="87"/>
      <c r="NJI20" s="87"/>
      <c r="NJJ20" s="87"/>
      <c r="NJK20" s="87"/>
      <c r="NJL20" s="87"/>
      <c r="NJM20" s="87"/>
      <c r="NJN20" s="87"/>
      <c r="NJO20" s="87"/>
      <c r="NJP20" s="87"/>
      <c r="NJQ20" s="87"/>
      <c r="NJR20" s="87"/>
      <c r="NJS20" s="87"/>
      <c r="NJT20" s="87"/>
      <c r="NJU20" s="87"/>
      <c r="NJV20" s="87"/>
      <c r="NJW20" s="87"/>
      <c r="NJX20" s="87"/>
      <c r="NJY20" s="87"/>
      <c r="NJZ20" s="87"/>
      <c r="NKA20" s="87"/>
      <c r="NKB20" s="87"/>
      <c r="NKC20" s="87"/>
      <c r="NKD20" s="87"/>
      <c r="NKE20" s="87"/>
      <c r="NKF20" s="87"/>
      <c r="NKG20" s="87"/>
      <c r="NKH20" s="87"/>
      <c r="NKI20" s="87"/>
      <c r="NKJ20" s="87"/>
      <c r="NKK20" s="87"/>
      <c r="NKL20" s="87"/>
      <c r="NKM20" s="87"/>
      <c r="NKN20" s="87"/>
      <c r="NKO20" s="87"/>
      <c r="NKP20" s="87"/>
      <c r="NKQ20" s="87"/>
      <c r="NKR20" s="87"/>
      <c r="NKS20" s="87"/>
      <c r="NKT20" s="87"/>
      <c r="NKU20" s="87"/>
      <c r="NKV20" s="87"/>
      <c r="NKW20" s="87"/>
      <c r="NKX20" s="87"/>
      <c r="NKY20" s="87"/>
      <c r="NKZ20" s="87"/>
      <c r="NLA20" s="87"/>
      <c r="NLB20" s="87"/>
      <c r="NLC20" s="87"/>
      <c r="NLD20" s="87"/>
      <c r="NLE20" s="87"/>
      <c r="NLF20" s="87"/>
      <c r="NLG20" s="87"/>
      <c r="NLH20" s="87"/>
      <c r="NLI20" s="87"/>
      <c r="NLJ20" s="87"/>
      <c r="NLK20" s="87"/>
      <c r="NLL20" s="87"/>
      <c r="NLM20" s="87"/>
      <c r="NLN20" s="87"/>
      <c r="NLO20" s="87"/>
      <c r="NLP20" s="87"/>
      <c r="NLQ20" s="87"/>
      <c r="NLR20" s="87"/>
      <c r="NLS20" s="87"/>
      <c r="NLT20" s="87"/>
      <c r="NLU20" s="87"/>
      <c r="NLV20" s="87"/>
      <c r="NLW20" s="87"/>
      <c r="NLX20" s="87"/>
      <c r="NLY20" s="87"/>
      <c r="NLZ20" s="87"/>
      <c r="NMA20" s="87"/>
      <c r="NMB20" s="87"/>
      <c r="NMC20" s="87"/>
      <c r="NMD20" s="87"/>
      <c r="NME20" s="87"/>
      <c r="NMF20" s="87"/>
      <c r="NMG20" s="87"/>
      <c r="NMH20" s="87"/>
      <c r="NMI20" s="87"/>
      <c r="NMJ20" s="87"/>
      <c r="NMK20" s="87"/>
      <c r="NML20" s="87"/>
      <c r="NMM20" s="87"/>
      <c r="NMN20" s="87"/>
      <c r="NMO20" s="87"/>
      <c r="NMP20" s="87"/>
      <c r="NMQ20" s="87"/>
      <c r="NMR20" s="87"/>
      <c r="NMS20" s="87"/>
      <c r="NMT20" s="87"/>
      <c r="NMU20" s="87"/>
      <c r="NMV20" s="87"/>
      <c r="NMW20" s="87"/>
      <c r="NMX20" s="87"/>
      <c r="NMY20" s="87"/>
      <c r="NMZ20" s="87"/>
      <c r="NNA20" s="87"/>
      <c r="NNB20" s="87"/>
      <c r="NNC20" s="87"/>
      <c r="NND20" s="87"/>
      <c r="NNE20" s="87"/>
      <c r="NNF20" s="87"/>
      <c r="NNG20" s="87"/>
      <c r="NNH20" s="87"/>
      <c r="NNI20" s="87"/>
      <c r="NNJ20" s="87"/>
      <c r="NNK20" s="87"/>
      <c r="NNL20" s="87"/>
      <c r="NNM20" s="87"/>
      <c r="NNN20" s="87"/>
      <c r="NNO20" s="87"/>
      <c r="NNP20" s="87"/>
      <c r="NNQ20" s="87"/>
      <c r="NNR20" s="87"/>
      <c r="NNS20" s="87"/>
      <c r="NNT20" s="87"/>
      <c r="NNU20" s="87"/>
      <c r="NNV20" s="87"/>
      <c r="NNW20" s="87"/>
      <c r="NNX20" s="87"/>
      <c r="NNY20" s="87"/>
      <c r="NNZ20" s="87"/>
      <c r="NOA20" s="87"/>
      <c r="NOB20" s="87"/>
      <c r="NOC20" s="87"/>
      <c r="NOD20" s="87"/>
      <c r="NOE20" s="87"/>
      <c r="NOF20" s="87"/>
      <c r="NOG20" s="87"/>
      <c r="NOH20" s="87"/>
      <c r="NOI20" s="87"/>
      <c r="NOJ20" s="87"/>
      <c r="NOK20" s="87"/>
      <c r="NOL20" s="87"/>
      <c r="NOM20" s="87"/>
      <c r="NON20" s="87"/>
      <c r="NOO20" s="87"/>
      <c r="NOP20" s="87"/>
      <c r="NOQ20" s="87"/>
      <c r="NOR20" s="87"/>
      <c r="NOS20" s="87"/>
      <c r="NOT20" s="87"/>
      <c r="NOU20" s="87"/>
      <c r="NOV20" s="87"/>
      <c r="NOW20" s="87"/>
      <c r="NOX20" s="87"/>
      <c r="NOY20" s="87"/>
      <c r="NOZ20" s="87"/>
      <c r="NPA20" s="87"/>
      <c r="NPB20" s="87"/>
      <c r="NPC20" s="87"/>
      <c r="NPD20" s="87"/>
      <c r="NPE20" s="87"/>
      <c r="NPF20" s="87"/>
      <c r="NPG20" s="87"/>
      <c r="NPH20" s="87"/>
      <c r="NPI20" s="87"/>
      <c r="NPJ20" s="87"/>
      <c r="NPK20" s="87"/>
      <c r="NPL20" s="87"/>
      <c r="NPM20" s="87"/>
      <c r="NPN20" s="87"/>
      <c r="NPO20" s="87"/>
      <c r="NPP20" s="87"/>
      <c r="NPQ20" s="87"/>
      <c r="NPR20" s="87"/>
      <c r="NPS20" s="87"/>
      <c r="NPT20" s="87"/>
      <c r="NPU20" s="87"/>
      <c r="NPV20" s="87"/>
      <c r="NPW20" s="87"/>
      <c r="NPX20" s="87"/>
      <c r="NPY20" s="87"/>
      <c r="NPZ20" s="87"/>
      <c r="NQA20" s="87"/>
      <c r="NQB20" s="87"/>
      <c r="NQC20" s="87"/>
      <c r="NQD20" s="87"/>
      <c r="NQE20" s="87"/>
      <c r="NQF20" s="87"/>
      <c r="NQG20" s="87"/>
      <c r="NQH20" s="87"/>
      <c r="NQI20" s="87"/>
      <c r="NQJ20" s="87"/>
      <c r="NQK20" s="87"/>
      <c r="NQL20" s="87"/>
      <c r="NQM20" s="87"/>
      <c r="NQN20" s="87"/>
      <c r="NQO20" s="87"/>
      <c r="NQP20" s="87"/>
      <c r="NQQ20" s="87"/>
      <c r="NQR20" s="87"/>
      <c r="NQS20" s="87"/>
      <c r="NQT20" s="87"/>
      <c r="NQU20" s="87"/>
      <c r="NQV20" s="87"/>
      <c r="NQW20" s="87"/>
      <c r="NQX20" s="87"/>
      <c r="NQY20" s="87"/>
      <c r="NQZ20" s="87"/>
      <c r="NRA20" s="87"/>
      <c r="NRB20" s="87"/>
      <c r="NRC20" s="87"/>
      <c r="NRD20" s="87"/>
      <c r="NRE20" s="87"/>
      <c r="NRF20" s="87"/>
      <c r="NRG20" s="87"/>
      <c r="NRH20" s="87"/>
      <c r="NRI20" s="87"/>
      <c r="NRJ20" s="87"/>
      <c r="NRK20" s="87"/>
      <c r="NRL20" s="87"/>
      <c r="NRM20" s="87"/>
      <c r="NRN20" s="87"/>
      <c r="NRO20" s="87"/>
      <c r="NRP20" s="87"/>
      <c r="NRQ20" s="87"/>
      <c r="NRR20" s="87"/>
      <c r="NRS20" s="87"/>
      <c r="NRT20" s="87"/>
      <c r="NRU20" s="87"/>
      <c r="NRV20" s="87"/>
      <c r="NRW20" s="87"/>
      <c r="NRX20" s="87"/>
      <c r="NRY20" s="87"/>
      <c r="NRZ20" s="87"/>
      <c r="NSA20" s="87"/>
      <c r="NSB20" s="87"/>
      <c r="NSC20" s="87"/>
      <c r="NSD20" s="87"/>
      <c r="NSE20" s="87"/>
      <c r="NSF20" s="87"/>
      <c r="NSG20" s="87"/>
      <c r="NSH20" s="87"/>
      <c r="NSI20" s="87"/>
      <c r="NSJ20" s="87"/>
      <c r="NSK20" s="87"/>
      <c r="NSL20" s="87"/>
      <c r="NSM20" s="87"/>
      <c r="NSN20" s="87"/>
      <c r="NSO20" s="87"/>
      <c r="NSP20" s="87"/>
      <c r="NSQ20" s="87"/>
      <c r="NSR20" s="87"/>
      <c r="NSS20" s="87"/>
      <c r="NST20" s="87"/>
      <c r="NSU20" s="87"/>
      <c r="NSV20" s="87"/>
      <c r="NSW20" s="87"/>
      <c r="NSX20" s="87"/>
      <c r="NSY20" s="87"/>
      <c r="NSZ20" s="87"/>
      <c r="NTA20" s="87"/>
      <c r="NTB20" s="87"/>
      <c r="NTC20" s="87"/>
      <c r="NTD20" s="87"/>
      <c r="NTE20" s="87"/>
      <c r="NTF20" s="87"/>
      <c r="NTG20" s="87"/>
      <c r="NTH20" s="87"/>
      <c r="NTI20" s="87"/>
      <c r="NTJ20" s="87"/>
      <c r="NTK20" s="87"/>
      <c r="NTL20" s="87"/>
      <c r="NTM20" s="87"/>
      <c r="NTN20" s="87"/>
      <c r="NTO20" s="87"/>
      <c r="NTP20" s="87"/>
      <c r="NTQ20" s="87"/>
      <c r="NTR20" s="87"/>
      <c r="NTS20" s="87"/>
      <c r="NTT20" s="87"/>
      <c r="NTU20" s="87"/>
      <c r="NTV20" s="87"/>
      <c r="NTW20" s="87"/>
      <c r="NTX20" s="87"/>
      <c r="NTY20" s="87"/>
      <c r="NTZ20" s="87"/>
      <c r="NUA20" s="87"/>
      <c r="NUB20" s="87"/>
      <c r="NUC20" s="87"/>
      <c r="NUD20" s="87"/>
      <c r="NUE20" s="87"/>
      <c r="NUF20" s="87"/>
      <c r="NUG20" s="87"/>
      <c r="NUH20" s="87"/>
      <c r="NUI20" s="87"/>
      <c r="NUJ20" s="87"/>
      <c r="NUK20" s="87"/>
      <c r="NUL20" s="87"/>
      <c r="NUM20" s="87"/>
      <c r="NUN20" s="87"/>
      <c r="NUO20" s="87"/>
      <c r="NUP20" s="87"/>
      <c r="NUQ20" s="87"/>
      <c r="NUR20" s="87"/>
      <c r="NUS20" s="87"/>
      <c r="NUT20" s="87"/>
      <c r="NUU20" s="87"/>
      <c r="NUV20" s="87"/>
      <c r="NUW20" s="87"/>
      <c r="NUX20" s="87"/>
      <c r="NUY20" s="87"/>
      <c r="NUZ20" s="87"/>
      <c r="NVA20" s="87"/>
      <c r="NVB20" s="87"/>
      <c r="NVC20" s="87"/>
      <c r="NVD20" s="87"/>
      <c r="NVE20" s="87"/>
      <c r="NVF20" s="87"/>
      <c r="NVG20" s="87"/>
      <c r="NVH20" s="87"/>
      <c r="NVI20" s="87"/>
      <c r="NVJ20" s="87"/>
      <c r="NVK20" s="87"/>
      <c r="NVL20" s="87"/>
      <c r="NVM20" s="87"/>
      <c r="NVN20" s="87"/>
      <c r="NVO20" s="87"/>
      <c r="NVP20" s="87"/>
      <c r="NVQ20" s="87"/>
      <c r="NVR20" s="87"/>
      <c r="NVS20" s="87"/>
      <c r="NVT20" s="87"/>
      <c r="NVU20" s="87"/>
      <c r="NVV20" s="87"/>
      <c r="NVW20" s="87"/>
      <c r="NVX20" s="87"/>
      <c r="NVY20" s="87"/>
      <c r="NVZ20" s="87"/>
      <c r="NWA20" s="87"/>
      <c r="NWB20" s="87"/>
      <c r="NWC20" s="87"/>
      <c r="NWD20" s="87"/>
      <c r="NWE20" s="87"/>
      <c r="NWF20" s="87"/>
      <c r="NWG20" s="87"/>
      <c r="NWH20" s="87"/>
      <c r="NWI20" s="87"/>
      <c r="NWJ20" s="87"/>
      <c r="NWK20" s="87"/>
      <c r="NWL20" s="87"/>
      <c r="NWM20" s="87"/>
      <c r="NWN20" s="87"/>
      <c r="NWO20" s="87"/>
      <c r="NWP20" s="87"/>
      <c r="NWQ20" s="87"/>
      <c r="NWR20" s="87"/>
      <c r="NWS20" s="87"/>
      <c r="NWT20" s="87"/>
      <c r="NWU20" s="87"/>
      <c r="NWV20" s="87"/>
      <c r="NWW20" s="87"/>
      <c r="NWX20" s="87"/>
      <c r="NWY20" s="87"/>
      <c r="NWZ20" s="87"/>
      <c r="NXA20" s="87"/>
      <c r="NXB20" s="87"/>
      <c r="NXC20" s="87"/>
      <c r="NXD20" s="87"/>
      <c r="NXE20" s="87"/>
      <c r="NXF20" s="87"/>
      <c r="NXG20" s="87"/>
      <c r="NXH20" s="87"/>
      <c r="NXI20" s="87"/>
      <c r="NXJ20" s="87"/>
      <c r="NXK20" s="87"/>
      <c r="NXL20" s="87"/>
      <c r="NXM20" s="87"/>
      <c r="NXN20" s="87"/>
      <c r="NXO20" s="87"/>
      <c r="NXP20" s="87"/>
      <c r="NXQ20" s="87"/>
      <c r="NXR20" s="87"/>
      <c r="NXS20" s="87"/>
      <c r="NXT20" s="87"/>
      <c r="NXU20" s="87"/>
      <c r="NXV20" s="87"/>
      <c r="NXW20" s="87"/>
      <c r="NXX20" s="87"/>
      <c r="NXY20" s="87"/>
      <c r="NXZ20" s="87"/>
      <c r="NYA20" s="87"/>
      <c r="NYB20" s="87"/>
      <c r="NYC20" s="87"/>
      <c r="NYD20" s="87"/>
      <c r="NYE20" s="87"/>
      <c r="NYF20" s="87"/>
      <c r="NYG20" s="87"/>
      <c r="NYH20" s="87"/>
      <c r="NYI20" s="87"/>
      <c r="NYJ20" s="87"/>
      <c r="NYK20" s="87"/>
      <c r="NYL20" s="87"/>
      <c r="NYM20" s="87"/>
      <c r="NYN20" s="87"/>
      <c r="NYO20" s="87"/>
      <c r="NYP20" s="87"/>
      <c r="NYQ20" s="87"/>
      <c r="NYR20" s="87"/>
      <c r="NYS20" s="87"/>
      <c r="NYT20" s="87"/>
      <c r="NYU20" s="87"/>
      <c r="NYV20" s="87"/>
      <c r="NYW20" s="87"/>
      <c r="NYX20" s="87"/>
      <c r="NYY20" s="87"/>
      <c r="NYZ20" s="87"/>
      <c r="NZA20" s="87"/>
      <c r="NZB20" s="87"/>
      <c r="NZC20" s="87"/>
      <c r="NZD20" s="87"/>
      <c r="NZE20" s="87"/>
      <c r="NZF20" s="87"/>
      <c r="NZG20" s="87"/>
      <c r="NZH20" s="87"/>
      <c r="NZI20" s="87"/>
      <c r="NZJ20" s="87"/>
      <c r="NZK20" s="87"/>
      <c r="NZL20" s="87"/>
      <c r="NZM20" s="87"/>
      <c r="NZN20" s="87"/>
      <c r="NZO20" s="87"/>
      <c r="NZP20" s="87"/>
      <c r="NZQ20" s="87"/>
      <c r="NZR20" s="87"/>
      <c r="NZS20" s="87"/>
      <c r="NZT20" s="87"/>
      <c r="NZU20" s="87"/>
      <c r="NZV20" s="87"/>
      <c r="NZW20" s="87"/>
      <c r="NZX20" s="87"/>
      <c r="NZY20" s="87"/>
      <c r="NZZ20" s="87"/>
      <c r="OAA20" s="87"/>
      <c r="OAB20" s="87"/>
      <c r="OAC20" s="87"/>
      <c r="OAD20" s="87"/>
      <c r="OAE20" s="87"/>
      <c r="OAF20" s="87"/>
      <c r="OAG20" s="87"/>
      <c r="OAH20" s="87"/>
      <c r="OAI20" s="87"/>
      <c r="OAJ20" s="87"/>
      <c r="OAK20" s="87"/>
      <c r="OAL20" s="87"/>
      <c r="OAM20" s="87"/>
      <c r="OAN20" s="87"/>
      <c r="OAO20" s="87"/>
      <c r="OAP20" s="87"/>
      <c r="OAQ20" s="87"/>
      <c r="OAR20" s="87"/>
      <c r="OAS20" s="87"/>
      <c r="OAT20" s="87"/>
      <c r="OAU20" s="87"/>
      <c r="OAV20" s="87"/>
      <c r="OAW20" s="87"/>
      <c r="OAX20" s="87"/>
      <c r="OAY20" s="87"/>
      <c r="OAZ20" s="87"/>
      <c r="OBA20" s="87"/>
      <c r="OBB20" s="87"/>
      <c r="OBC20" s="87"/>
      <c r="OBD20" s="87"/>
      <c r="OBE20" s="87"/>
      <c r="OBF20" s="87"/>
      <c r="OBG20" s="87"/>
      <c r="OBH20" s="87"/>
      <c r="OBI20" s="87"/>
      <c r="OBJ20" s="87"/>
      <c r="OBK20" s="87"/>
      <c r="OBL20" s="87"/>
      <c r="OBM20" s="87"/>
      <c r="OBN20" s="87"/>
      <c r="OBO20" s="87"/>
      <c r="OBP20" s="87"/>
      <c r="OBQ20" s="87"/>
      <c r="OBR20" s="87"/>
      <c r="OBS20" s="87"/>
      <c r="OBT20" s="87"/>
      <c r="OBU20" s="87"/>
      <c r="OBV20" s="87"/>
      <c r="OBW20" s="87"/>
      <c r="OBX20" s="87"/>
      <c r="OBY20" s="87"/>
      <c r="OBZ20" s="87"/>
      <c r="OCA20" s="87"/>
      <c r="OCB20" s="87"/>
      <c r="OCC20" s="87"/>
      <c r="OCD20" s="87"/>
      <c r="OCE20" s="87"/>
      <c r="OCF20" s="87"/>
      <c r="OCG20" s="87"/>
      <c r="OCH20" s="87"/>
      <c r="OCI20" s="87"/>
      <c r="OCJ20" s="87"/>
      <c r="OCK20" s="87"/>
      <c r="OCL20" s="87"/>
      <c r="OCM20" s="87"/>
      <c r="OCN20" s="87"/>
      <c r="OCO20" s="87"/>
      <c r="OCP20" s="87"/>
      <c r="OCQ20" s="87"/>
      <c r="OCR20" s="87"/>
      <c r="OCS20" s="87"/>
      <c r="OCT20" s="87"/>
      <c r="OCU20" s="87"/>
      <c r="OCV20" s="87"/>
      <c r="OCW20" s="87"/>
      <c r="OCX20" s="87"/>
      <c r="OCY20" s="87"/>
      <c r="OCZ20" s="87"/>
      <c r="ODA20" s="87"/>
      <c r="ODB20" s="87"/>
      <c r="ODC20" s="87"/>
      <c r="ODD20" s="87"/>
      <c r="ODE20" s="87"/>
      <c r="ODF20" s="87"/>
      <c r="ODG20" s="87"/>
      <c r="ODH20" s="87"/>
      <c r="ODI20" s="87"/>
      <c r="ODJ20" s="87"/>
      <c r="ODK20" s="87"/>
      <c r="ODL20" s="87"/>
      <c r="ODM20" s="87"/>
      <c r="ODN20" s="87"/>
      <c r="ODO20" s="87"/>
      <c r="ODP20" s="87"/>
      <c r="ODQ20" s="87"/>
      <c r="ODR20" s="87"/>
      <c r="ODS20" s="87"/>
      <c r="ODT20" s="87"/>
      <c r="ODU20" s="87"/>
      <c r="ODV20" s="87"/>
      <c r="ODW20" s="87"/>
      <c r="ODX20" s="87"/>
      <c r="ODY20" s="87"/>
      <c r="ODZ20" s="87"/>
      <c r="OEA20" s="87"/>
      <c r="OEB20" s="87"/>
      <c r="OEC20" s="87"/>
      <c r="OED20" s="87"/>
      <c r="OEE20" s="87"/>
      <c r="OEF20" s="87"/>
      <c r="OEG20" s="87"/>
      <c r="OEH20" s="87"/>
      <c r="OEI20" s="87"/>
      <c r="OEJ20" s="87"/>
      <c r="OEK20" s="87"/>
      <c r="OEL20" s="87"/>
      <c r="OEM20" s="87"/>
      <c r="OEN20" s="87"/>
      <c r="OEO20" s="87"/>
      <c r="OEP20" s="87"/>
      <c r="OEQ20" s="87"/>
      <c r="OER20" s="87"/>
      <c r="OES20" s="87"/>
      <c r="OET20" s="87"/>
      <c r="OEU20" s="87"/>
      <c r="OEV20" s="87"/>
      <c r="OEW20" s="87"/>
      <c r="OEX20" s="87"/>
      <c r="OEY20" s="87"/>
      <c r="OEZ20" s="87"/>
      <c r="OFA20" s="87"/>
      <c r="OFB20" s="87"/>
      <c r="OFC20" s="87"/>
      <c r="OFD20" s="87"/>
      <c r="OFE20" s="87"/>
      <c r="OFF20" s="87"/>
      <c r="OFG20" s="87"/>
      <c r="OFH20" s="87"/>
      <c r="OFI20" s="87"/>
      <c r="OFJ20" s="87"/>
      <c r="OFK20" s="87"/>
      <c r="OFL20" s="87"/>
      <c r="OFM20" s="87"/>
      <c r="OFN20" s="87"/>
      <c r="OFO20" s="87"/>
      <c r="OFP20" s="87"/>
      <c r="OFQ20" s="87"/>
      <c r="OFR20" s="87"/>
      <c r="OFS20" s="87"/>
      <c r="OFT20" s="87"/>
      <c r="OFU20" s="87"/>
      <c r="OFV20" s="87"/>
      <c r="OFW20" s="87"/>
      <c r="OFX20" s="87"/>
      <c r="OFY20" s="87"/>
      <c r="OFZ20" s="87"/>
      <c r="OGA20" s="87"/>
      <c r="OGB20" s="87"/>
      <c r="OGC20" s="87"/>
      <c r="OGD20" s="87"/>
      <c r="OGE20" s="87"/>
      <c r="OGF20" s="87"/>
      <c r="OGG20" s="87"/>
      <c r="OGH20" s="87"/>
      <c r="OGI20" s="87"/>
      <c r="OGJ20" s="87"/>
      <c r="OGK20" s="87"/>
      <c r="OGL20" s="87"/>
      <c r="OGM20" s="87"/>
      <c r="OGN20" s="87"/>
      <c r="OGO20" s="87"/>
      <c r="OGP20" s="87"/>
      <c r="OGQ20" s="87"/>
      <c r="OGR20" s="87"/>
      <c r="OGS20" s="87"/>
      <c r="OGT20" s="87"/>
      <c r="OGU20" s="87"/>
      <c r="OGV20" s="87"/>
      <c r="OGW20" s="87"/>
      <c r="OGX20" s="87"/>
      <c r="OGY20" s="87"/>
      <c r="OGZ20" s="87"/>
      <c r="OHA20" s="87"/>
      <c r="OHB20" s="87"/>
      <c r="OHC20" s="87"/>
      <c r="OHD20" s="87"/>
      <c r="OHE20" s="87"/>
      <c r="OHF20" s="87"/>
      <c r="OHG20" s="87"/>
      <c r="OHH20" s="87"/>
      <c r="OHI20" s="87"/>
      <c r="OHJ20" s="87"/>
      <c r="OHK20" s="87"/>
      <c r="OHL20" s="87"/>
      <c r="OHM20" s="87"/>
      <c r="OHN20" s="87"/>
      <c r="OHO20" s="87"/>
      <c r="OHP20" s="87"/>
      <c r="OHQ20" s="87"/>
      <c r="OHR20" s="87"/>
      <c r="OHS20" s="87"/>
      <c r="OHT20" s="87"/>
      <c r="OHU20" s="87"/>
      <c r="OHV20" s="87"/>
      <c r="OHW20" s="87"/>
      <c r="OHX20" s="87"/>
      <c r="OHY20" s="87"/>
      <c r="OHZ20" s="87"/>
      <c r="OIA20" s="87"/>
      <c r="OIB20" s="87"/>
      <c r="OIC20" s="87"/>
      <c r="OID20" s="87"/>
      <c r="OIE20" s="87"/>
      <c r="OIF20" s="87"/>
      <c r="OIG20" s="87"/>
      <c r="OIH20" s="87"/>
      <c r="OII20" s="87"/>
      <c r="OIJ20" s="87"/>
      <c r="OIK20" s="87"/>
      <c r="OIL20" s="87"/>
      <c r="OIM20" s="87"/>
      <c r="OIN20" s="87"/>
      <c r="OIO20" s="87"/>
      <c r="OIP20" s="87"/>
      <c r="OIQ20" s="87"/>
      <c r="OIR20" s="87"/>
      <c r="OIS20" s="87"/>
      <c r="OIT20" s="87"/>
      <c r="OIU20" s="87"/>
      <c r="OIV20" s="87"/>
      <c r="OIW20" s="87"/>
      <c r="OIX20" s="87"/>
      <c r="OIY20" s="87"/>
      <c r="OIZ20" s="87"/>
      <c r="OJA20" s="87"/>
      <c r="OJB20" s="87"/>
      <c r="OJC20" s="87"/>
      <c r="OJD20" s="87"/>
      <c r="OJE20" s="87"/>
      <c r="OJF20" s="87"/>
      <c r="OJG20" s="87"/>
      <c r="OJH20" s="87"/>
      <c r="OJI20" s="87"/>
      <c r="OJJ20" s="87"/>
      <c r="OJK20" s="87"/>
      <c r="OJL20" s="87"/>
      <c r="OJM20" s="87"/>
      <c r="OJN20" s="87"/>
      <c r="OJO20" s="87"/>
      <c r="OJP20" s="87"/>
      <c r="OJQ20" s="87"/>
      <c r="OJR20" s="87"/>
      <c r="OJS20" s="87"/>
      <c r="OJT20" s="87"/>
      <c r="OJU20" s="87"/>
      <c r="OJV20" s="87"/>
      <c r="OJW20" s="87"/>
      <c r="OJX20" s="87"/>
      <c r="OJY20" s="87"/>
      <c r="OJZ20" s="87"/>
      <c r="OKA20" s="87"/>
      <c r="OKB20" s="87"/>
      <c r="OKC20" s="87"/>
      <c r="OKD20" s="87"/>
      <c r="OKE20" s="87"/>
      <c r="OKF20" s="87"/>
      <c r="OKG20" s="87"/>
      <c r="OKH20" s="87"/>
      <c r="OKI20" s="87"/>
      <c r="OKJ20" s="87"/>
      <c r="OKK20" s="87"/>
      <c r="OKL20" s="87"/>
      <c r="OKM20" s="87"/>
      <c r="OKN20" s="87"/>
      <c r="OKO20" s="87"/>
      <c r="OKP20" s="87"/>
      <c r="OKQ20" s="87"/>
      <c r="OKR20" s="87"/>
      <c r="OKS20" s="87"/>
      <c r="OKT20" s="87"/>
      <c r="OKU20" s="87"/>
      <c r="OKV20" s="87"/>
      <c r="OKW20" s="87"/>
      <c r="OKX20" s="87"/>
      <c r="OKY20" s="87"/>
      <c r="OKZ20" s="87"/>
      <c r="OLA20" s="87"/>
      <c r="OLB20" s="87"/>
      <c r="OLC20" s="87"/>
      <c r="OLD20" s="87"/>
      <c r="OLE20" s="87"/>
      <c r="OLF20" s="87"/>
      <c r="OLG20" s="87"/>
      <c r="OLH20" s="87"/>
      <c r="OLI20" s="87"/>
      <c r="OLJ20" s="87"/>
      <c r="OLK20" s="87"/>
      <c r="OLL20" s="87"/>
      <c r="OLM20" s="87"/>
      <c r="OLN20" s="87"/>
      <c r="OLO20" s="87"/>
      <c r="OLP20" s="87"/>
      <c r="OLQ20" s="87"/>
      <c r="OLR20" s="87"/>
      <c r="OLS20" s="87"/>
      <c r="OLT20" s="87"/>
      <c r="OLU20" s="87"/>
      <c r="OLV20" s="87"/>
      <c r="OLW20" s="87"/>
      <c r="OLX20" s="87"/>
      <c r="OLY20" s="87"/>
      <c r="OLZ20" s="87"/>
      <c r="OMA20" s="87"/>
      <c r="OMB20" s="87"/>
      <c r="OMC20" s="87"/>
      <c r="OMD20" s="87"/>
      <c r="OME20" s="87"/>
      <c r="OMF20" s="87"/>
      <c r="OMG20" s="87"/>
      <c r="OMH20" s="87"/>
      <c r="OMI20" s="87"/>
      <c r="OMJ20" s="87"/>
      <c r="OMK20" s="87"/>
      <c r="OML20" s="87"/>
      <c r="OMM20" s="87"/>
      <c r="OMN20" s="87"/>
      <c r="OMO20" s="87"/>
      <c r="OMP20" s="87"/>
      <c r="OMQ20" s="87"/>
      <c r="OMR20" s="87"/>
      <c r="OMS20" s="87"/>
      <c r="OMT20" s="87"/>
      <c r="OMU20" s="87"/>
      <c r="OMV20" s="87"/>
      <c r="OMW20" s="87"/>
      <c r="OMX20" s="87"/>
      <c r="OMY20" s="87"/>
      <c r="OMZ20" s="87"/>
      <c r="ONA20" s="87"/>
      <c r="ONB20" s="87"/>
      <c r="ONC20" s="87"/>
      <c r="OND20" s="87"/>
      <c r="ONE20" s="87"/>
      <c r="ONF20" s="87"/>
      <c r="ONG20" s="87"/>
      <c r="ONH20" s="87"/>
      <c r="ONI20" s="87"/>
      <c r="ONJ20" s="87"/>
      <c r="ONK20" s="87"/>
      <c r="ONL20" s="87"/>
      <c r="ONM20" s="87"/>
      <c r="ONN20" s="87"/>
      <c r="ONO20" s="87"/>
      <c r="ONP20" s="87"/>
      <c r="ONQ20" s="87"/>
      <c r="ONR20" s="87"/>
      <c r="ONS20" s="87"/>
      <c r="ONT20" s="87"/>
      <c r="ONU20" s="87"/>
      <c r="ONV20" s="87"/>
      <c r="ONW20" s="87"/>
      <c r="ONX20" s="87"/>
      <c r="ONY20" s="87"/>
      <c r="ONZ20" s="87"/>
      <c r="OOA20" s="87"/>
      <c r="OOB20" s="87"/>
      <c r="OOC20" s="87"/>
      <c r="OOD20" s="87"/>
      <c r="OOE20" s="87"/>
      <c r="OOF20" s="87"/>
      <c r="OOG20" s="87"/>
      <c r="OOH20" s="87"/>
      <c r="OOI20" s="87"/>
      <c r="OOJ20" s="87"/>
      <c r="OOK20" s="87"/>
      <c r="OOL20" s="87"/>
      <c r="OOM20" s="87"/>
      <c r="OON20" s="87"/>
      <c r="OOO20" s="87"/>
      <c r="OOP20" s="87"/>
      <c r="OOQ20" s="87"/>
      <c r="OOR20" s="87"/>
      <c r="OOS20" s="87"/>
      <c r="OOT20" s="87"/>
      <c r="OOU20" s="87"/>
      <c r="OOV20" s="87"/>
      <c r="OOW20" s="87"/>
      <c r="OOX20" s="87"/>
      <c r="OOY20" s="87"/>
      <c r="OOZ20" s="87"/>
      <c r="OPA20" s="87"/>
      <c r="OPB20" s="87"/>
      <c r="OPC20" s="87"/>
      <c r="OPD20" s="87"/>
      <c r="OPE20" s="87"/>
      <c r="OPF20" s="87"/>
      <c r="OPG20" s="87"/>
      <c r="OPH20" s="87"/>
      <c r="OPI20" s="87"/>
      <c r="OPJ20" s="87"/>
      <c r="OPK20" s="87"/>
      <c r="OPL20" s="87"/>
      <c r="OPM20" s="87"/>
      <c r="OPN20" s="87"/>
      <c r="OPO20" s="87"/>
      <c r="OPP20" s="87"/>
      <c r="OPQ20" s="87"/>
      <c r="OPR20" s="87"/>
      <c r="OPS20" s="87"/>
      <c r="OPT20" s="87"/>
      <c r="OPU20" s="87"/>
      <c r="OPV20" s="87"/>
      <c r="OPW20" s="87"/>
      <c r="OPX20" s="87"/>
      <c r="OPY20" s="87"/>
      <c r="OPZ20" s="87"/>
      <c r="OQA20" s="87"/>
      <c r="OQB20" s="87"/>
      <c r="OQC20" s="87"/>
      <c r="OQD20" s="87"/>
      <c r="OQE20" s="87"/>
      <c r="OQF20" s="87"/>
      <c r="OQG20" s="87"/>
      <c r="OQH20" s="87"/>
      <c r="OQI20" s="87"/>
      <c r="OQJ20" s="87"/>
      <c r="OQK20" s="87"/>
      <c r="OQL20" s="87"/>
      <c r="OQM20" s="87"/>
      <c r="OQN20" s="87"/>
      <c r="OQO20" s="87"/>
      <c r="OQP20" s="87"/>
      <c r="OQQ20" s="87"/>
      <c r="OQR20" s="87"/>
      <c r="OQS20" s="87"/>
      <c r="OQT20" s="87"/>
      <c r="OQU20" s="87"/>
      <c r="OQV20" s="87"/>
      <c r="OQW20" s="87"/>
      <c r="OQX20" s="87"/>
      <c r="OQY20" s="87"/>
      <c r="OQZ20" s="87"/>
      <c r="ORA20" s="87"/>
      <c r="ORB20" s="87"/>
      <c r="ORC20" s="87"/>
      <c r="ORD20" s="87"/>
      <c r="ORE20" s="87"/>
      <c r="ORF20" s="87"/>
      <c r="ORG20" s="87"/>
      <c r="ORH20" s="87"/>
      <c r="ORI20" s="87"/>
      <c r="ORJ20" s="87"/>
      <c r="ORK20" s="87"/>
      <c r="ORL20" s="87"/>
      <c r="ORM20" s="87"/>
      <c r="ORN20" s="87"/>
      <c r="ORO20" s="87"/>
      <c r="ORP20" s="87"/>
      <c r="ORQ20" s="87"/>
      <c r="ORR20" s="87"/>
      <c r="ORS20" s="87"/>
      <c r="ORT20" s="87"/>
      <c r="ORU20" s="87"/>
      <c r="ORV20" s="87"/>
      <c r="ORW20" s="87"/>
      <c r="ORX20" s="87"/>
      <c r="ORY20" s="87"/>
      <c r="ORZ20" s="87"/>
      <c r="OSA20" s="87"/>
      <c r="OSB20" s="87"/>
      <c r="OSC20" s="87"/>
      <c r="OSD20" s="87"/>
      <c r="OSE20" s="87"/>
      <c r="OSF20" s="87"/>
      <c r="OSG20" s="87"/>
      <c r="OSH20" s="87"/>
      <c r="OSI20" s="87"/>
      <c r="OSJ20" s="87"/>
      <c r="OSK20" s="87"/>
      <c r="OSL20" s="87"/>
      <c r="OSM20" s="87"/>
      <c r="OSN20" s="87"/>
      <c r="OSO20" s="87"/>
      <c r="OSP20" s="87"/>
      <c r="OSQ20" s="87"/>
      <c r="OSR20" s="87"/>
      <c r="OSS20" s="87"/>
      <c r="OST20" s="87"/>
      <c r="OSU20" s="87"/>
      <c r="OSV20" s="87"/>
      <c r="OSW20" s="87"/>
      <c r="OSX20" s="87"/>
      <c r="OSY20" s="87"/>
      <c r="OSZ20" s="87"/>
      <c r="OTA20" s="87"/>
      <c r="OTB20" s="87"/>
      <c r="OTC20" s="87"/>
      <c r="OTD20" s="87"/>
      <c r="OTE20" s="87"/>
      <c r="OTF20" s="87"/>
      <c r="OTG20" s="87"/>
      <c r="OTH20" s="87"/>
      <c r="OTI20" s="87"/>
      <c r="OTJ20" s="87"/>
      <c r="OTK20" s="87"/>
      <c r="OTL20" s="87"/>
      <c r="OTM20" s="87"/>
      <c r="OTN20" s="87"/>
      <c r="OTO20" s="87"/>
      <c r="OTP20" s="87"/>
      <c r="OTQ20" s="87"/>
      <c r="OTR20" s="87"/>
      <c r="OTS20" s="87"/>
      <c r="OTT20" s="87"/>
      <c r="OTU20" s="87"/>
      <c r="OTV20" s="87"/>
      <c r="OTW20" s="87"/>
      <c r="OTX20" s="87"/>
      <c r="OTY20" s="87"/>
      <c r="OTZ20" s="87"/>
      <c r="OUA20" s="87"/>
      <c r="OUB20" s="87"/>
      <c r="OUC20" s="87"/>
      <c r="OUD20" s="87"/>
      <c r="OUE20" s="87"/>
      <c r="OUF20" s="87"/>
      <c r="OUG20" s="87"/>
      <c r="OUH20" s="87"/>
      <c r="OUI20" s="87"/>
      <c r="OUJ20" s="87"/>
      <c r="OUK20" s="87"/>
      <c r="OUL20" s="87"/>
      <c r="OUM20" s="87"/>
      <c r="OUN20" s="87"/>
      <c r="OUO20" s="87"/>
      <c r="OUP20" s="87"/>
      <c r="OUQ20" s="87"/>
      <c r="OUR20" s="87"/>
      <c r="OUS20" s="87"/>
      <c r="OUT20" s="87"/>
      <c r="OUU20" s="87"/>
      <c r="OUV20" s="87"/>
      <c r="OUW20" s="87"/>
      <c r="OUX20" s="87"/>
      <c r="OUY20" s="87"/>
      <c r="OUZ20" s="87"/>
      <c r="OVA20" s="87"/>
      <c r="OVB20" s="87"/>
      <c r="OVC20" s="87"/>
      <c r="OVD20" s="87"/>
      <c r="OVE20" s="87"/>
      <c r="OVF20" s="87"/>
      <c r="OVG20" s="87"/>
      <c r="OVH20" s="87"/>
      <c r="OVI20" s="87"/>
      <c r="OVJ20" s="87"/>
      <c r="OVK20" s="87"/>
      <c r="OVL20" s="87"/>
      <c r="OVM20" s="87"/>
      <c r="OVN20" s="87"/>
      <c r="OVO20" s="87"/>
      <c r="OVP20" s="87"/>
      <c r="OVQ20" s="87"/>
      <c r="OVR20" s="87"/>
      <c r="OVS20" s="87"/>
      <c r="OVT20" s="87"/>
      <c r="OVU20" s="87"/>
      <c r="OVV20" s="87"/>
      <c r="OVW20" s="87"/>
      <c r="OVX20" s="87"/>
      <c r="OVY20" s="87"/>
      <c r="OVZ20" s="87"/>
      <c r="OWA20" s="87"/>
      <c r="OWB20" s="87"/>
      <c r="OWC20" s="87"/>
      <c r="OWD20" s="87"/>
      <c r="OWE20" s="87"/>
      <c r="OWF20" s="87"/>
      <c r="OWG20" s="87"/>
      <c r="OWH20" s="87"/>
      <c r="OWI20" s="87"/>
      <c r="OWJ20" s="87"/>
      <c r="OWK20" s="87"/>
      <c r="OWL20" s="87"/>
      <c r="OWM20" s="87"/>
      <c r="OWN20" s="87"/>
      <c r="OWO20" s="87"/>
      <c r="OWP20" s="87"/>
      <c r="OWQ20" s="87"/>
      <c r="OWR20" s="87"/>
      <c r="OWS20" s="87"/>
      <c r="OWT20" s="87"/>
      <c r="OWU20" s="87"/>
      <c r="OWV20" s="87"/>
      <c r="OWW20" s="87"/>
      <c r="OWX20" s="87"/>
      <c r="OWY20" s="87"/>
      <c r="OWZ20" s="87"/>
      <c r="OXA20" s="87"/>
      <c r="OXB20" s="87"/>
      <c r="OXC20" s="87"/>
      <c r="OXD20" s="87"/>
      <c r="OXE20" s="87"/>
      <c r="OXF20" s="87"/>
      <c r="OXG20" s="87"/>
      <c r="OXH20" s="87"/>
      <c r="OXI20" s="87"/>
      <c r="OXJ20" s="87"/>
      <c r="OXK20" s="87"/>
      <c r="OXL20" s="87"/>
      <c r="OXM20" s="87"/>
      <c r="OXN20" s="87"/>
      <c r="OXO20" s="87"/>
      <c r="OXP20" s="87"/>
      <c r="OXQ20" s="87"/>
      <c r="OXR20" s="87"/>
      <c r="OXS20" s="87"/>
      <c r="OXT20" s="87"/>
      <c r="OXU20" s="87"/>
      <c r="OXV20" s="87"/>
      <c r="OXW20" s="87"/>
      <c r="OXX20" s="87"/>
      <c r="OXY20" s="87"/>
      <c r="OXZ20" s="87"/>
      <c r="OYA20" s="87"/>
      <c r="OYB20" s="87"/>
      <c r="OYC20" s="87"/>
      <c r="OYD20" s="87"/>
      <c r="OYE20" s="87"/>
      <c r="OYF20" s="87"/>
      <c r="OYG20" s="87"/>
      <c r="OYH20" s="87"/>
      <c r="OYI20" s="87"/>
      <c r="OYJ20" s="87"/>
      <c r="OYK20" s="87"/>
      <c r="OYL20" s="87"/>
      <c r="OYM20" s="87"/>
      <c r="OYN20" s="87"/>
      <c r="OYO20" s="87"/>
      <c r="OYP20" s="87"/>
      <c r="OYQ20" s="87"/>
      <c r="OYR20" s="87"/>
      <c r="OYS20" s="87"/>
      <c r="OYT20" s="87"/>
      <c r="OYU20" s="87"/>
      <c r="OYV20" s="87"/>
      <c r="OYW20" s="87"/>
      <c r="OYX20" s="87"/>
      <c r="OYY20" s="87"/>
      <c r="OYZ20" s="87"/>
      <c r="OZA20" s="87"/>
      <c r="OZB20" s="87"/>
      <c r="OZC20" s="87"/>
      <c r="OZD20" s="87"/>
      <c r="OZE20" s="87"/>
      <c r="OZF20" s="87"/>
      <c r="OZG20" s="87"/>
      <c r="OZH20" s="87"/>
      <c r="OZI20" s="87"/>
      <c r="OZJ20" s="87"/>
      <c r="OZK20" s="87"/>
      <c r="OZL20" s="87"/>
      <c r="OZM20" s="87"/>
      <c r="OZN20" s="87"/>
      <c r="OZO20" s="87"/>
      <c r="OZP20" s="87"/>
      <c r="OZQ20" s="87"/>
      <c r="OZR20" s="87"/>
      <c r="OZS20" s="87"/>
      <c r="OZT20" s="87"/>
      <c r="OZU20" s="87"/>
      <c r="OZV20" s="87"/>
      <c r="OZW20" s="87"/>
      <c r="OZX20" s="87"/>
      <c r="OZY20" s="87"/>
      <c r="OZZ20" s="87"/>
      <c r="PAA20" s="87"/>
      <c r="PAB20" s="87"/>
      <c r="PAC20" s="87"/>
      <c r="PAD20" s="87"/>
      <c r="PAE20" s="87"/>
      <c r="PAF20" s="87"/>
      <c r="PAG20" s="87"/>
      <c r="PAH20" s="87"/>
      <c r="PAI20" s="87"/>
      <c r="PAJ20" s="87"/>
      <c r="PAK20" s="87"/>
      <c r="PAL20" s="87"/>
      <c r="PAM20" s="87"/>
      <c r="PAN20" s="87"/>
      <c r="PAO20" s="87"/>
      <c r="PAP20" s="87"/>
      <c r="PAQ20" s="87"/>
      <c r="PAR20" s="87"/>
      <c r="PAS20" s="87"/>
      <c r="PAT20" s="87"/>
      <c r="PAU20" s="87"/>
      <c r="PAV20" s="87"/>
      <c r="PAW20" s="87"/>
      <c r="PAX20" s="87"/>
      <c r="PAY20" s="87"/>
      <c r="PAZ20" s="87"/>
      <c r="PBA20" s="87"/>
      <c r="PBB20" s="87"/>
      <c r="PBC20" s="87"/>
      <c r="PBD20" s="87"/>
      <c r="PBE20" s="87"/>
      <c r="PBF20" s="87"/>
      <c r="PBG20" s="87"/>
      <c r="PBH20" s="87"/>
      <c r="PBI20" s="87"/>
      <c r="PBJ20" s="87"/>
      <c r="PBK20" s="87"/>
      <c r="PBL20" s="87"/>
      <c r="PBM20" s="87"/>
      <c r="PBN20" s="87"/>
      <c r="PBO20" s="87"/>
      <c r="PBP20" s="87"/>
      <c r="PBQ20" s="87"/>
      <c r="PBR20" s="87"/>
      <c r="PBS20" s="87"/>
      <c r="PBT20" s="87"/>
      <c r="PBU20" s="87"/>
      <c r="PBV20" s="87"/>
      <c r="PBW20" s="87"/>
      <c r="PBX20" s="87"/>
      <c r="PBY20" s="87"/>
      <c r="PBZ20" s="87"/>
      <c r="PCA20" s="87"/>
      <c r="PCB20" s="87"/>
      <c r="PCC20" s="87"/>
      <c r="PCD20" s="87"/>
      <c r="PCE20" s="87"/>
      <c r="PCF20" s="87"/>
      <c r="PCG20" s="87"/>
      <c r="PCH20" s="87"/>
      <c r="PCI20" s="87"/>
      <c r="PCJ20" s="87"/>
      <c r="PCK20" s="87"/>
      <c r="PCL20" s="87"/>
      <c r="PCM20" s="87"/>
      <c r="PCN20" s="87"/>
      <c r="PCO20" s="87"/>
      <c r="PCP20" s="87"/>
      <c r="PCQ20" s="87"/>
      <c r="PCR20" s="87"/>
      <c r="PCS20" s="87"/>
      <c r="PCT20" s="87"/>
      <c r="PCU20" s="87"/>
      <c r="PCV20" s="87"/>
      <c r="PCW20" s="87"/>
      <c r="PCX20" s="87"/>
      <c r="PCY20" s="87"/>
      <c r="PCZ20" s="87"/>
      <c r="PDA20" s="87"/>
      <c r="PDB20" s="87"/>
      <c r="PDC20" s="87"/>
      <c r="PDD20" s="87"/>
      <c r="PDE20" s="87"/>
      <c r="PDF20" s="87"/>
      <c r="PDG20" s="87"/>
      <c r="PDH20" s="87"/>
      <c r="PDI20" s="87"/>
      <c r="PDJ20" s="87"/>
      <c r="PDK20" s="87"/>
      <c r="PDL20" s="87"/>
      <c r="PDM20" s="87"/>
      <c r="PDN20" s="87"/>
      <c r="PDO20" s="87"/>
      <c r="PDP20" s="87"/>
      <c r="PDQ20" s="87"/>
      <c r="PDR20" s="87"/>
      <c r="PDS20" s="87"/>
      <c r="PDT20" s="87"/>
      <c r="PDU20" s="87"/>
      <c r="PDV20" s="87"/>
      <c r="PDW20" s="87"/>
      <c r="PDX20" s="87"/>
      <c r="PDY20" s="87"/>
      <c r="PDZ20" s="87"/>
      <c r="PEA20" s="87"/>
      <c r="PEB20" s="87"/>
      <c r="PEC20" s="87"/>
      <c r="PED20" s="87"/>
      <c r="PEE20" s="87"/>
      <c r="PEF20" s="87"/>
      <c r="PEG20" s="87"/>
      <c r="PEH20" s="87"/>
      <c r="PEI20" s="87"/>
      <c r="PEJ20" s="87"/>
      <c r="PEK20" s="87"/>
      <c r="PEL20" s="87"/>
      <c r="PEM20" s="87"/>
      <c r="PEN20" s="87"/>
      <c r="PEO20" s="87"/>
      <c r="PEP20" s="87"/>
      <c r="PEQ20" s="87"/>
      <c r="PER20" s="87"/>
      <c r="PES20" s="87"/>
      <c r="PET20" s="87"/>
      <c r="PEU20" s="87"/>
      <c r="PEV20" s="87"/>
      <c r="PEW20" s="87"/>
      <c r="PEX20" s="87"/>
      <c r="PEY20" s="87"/>
      <c r="PEZ20" s="87"/>
      <c r="PFA20" s="87"/>
      <c r="PFB20" s="87"/>
      <c r="PFC20" s="87"/>
      <c r="PFD20" s="87"/>
      <c r="PFE20" s="87"/>
      <c r="PFF20" s="87"/>
      <c r="PFG20" s="87"/>
      <c r="PFH20" s="87"/>
      <c r="PFI20" s="87"/>
      <c r="PFJ20" s="87"/>
      <c r="PFK20" s="87"/>
      <c r="PFL20" s="87"/>
      <c r="PFM20" s="87"/>
      <c r="PFN20" s="87"/>
      <c r="PFO20" s="87"/>
      <c r="PFP20" s="87"/>
      <c r="PFQ20" s="87"/>
      <c r="PFR20" s="87"/>
      <c r="PFS20" s="87"/>
      <c r="PFT20" s="87"/>
      <c r="PFU20" s="87"/>
      <c r="PFV20" s="87"/>
      <c r="PFW20" s="87"/>
      <c r="PFX20" s="87"/>
      <c r="PFY20" s="87"/>
      <c r="PFZ20" s="87"/>
      <c r="PGA20" s="87"/>
      <c r="PGB20" s="87"/>
      <c r="PGC20" s="87"/>
      <c r="PGD20" s="87"/>
      <c r="PGE20" s="87"/>
      <c r="PGF20" s="87"/>
      <c r="PGG20" s="87"/>
      <c r="PGH20" s="87"/>
      <c r="PGI20" s="87"/>
      <c r="PGJ20" s="87"/>
      <c r="PGK20" s="87"/>
      <c r="PGL20" s="87"/>
      <c r="PGM20" s="87"/>
      <c r="PGN20" s="87"/>
      <c r="PGO20" s="87"/>
      <c r="PGP20" s="87"/>
      <c r="PGQ20" s="87"/>
      <c r="PGR20" s="87"/>
      <c r="PGS20" s="87"/>
      <c r="PGT20" s="87"/>
      <c r="PGU20" s="87"/>
      <c r="PGV20" s="87"/>
      <c r="PGW20" s="87"/>
      <c r="PGX20" s="87"/>
      <c r="PGY20" s="87"/>
      <c r="PGZ20" s="87"/>
      <c r="PHA20" s="87"/>
      <c r="PHB20" s="87"/>
      <c r="PHC20" s="87"/>
      <c r="PHD20" s="87"/>
      <c r="PHE20" s="87"/>
      <c r="PHF20" s="87"/>
      <c r="PHG20" s="87"/>
      <c r="PHH20" s="87"/>
      <c r="PHI20" s="87"/>
      <c r="PHJ20" s="87"/>
      <c r="PHK20" s="87"/>
      <c r="PHL20" s="87"/>
      <c r="PHM20" s="87"/>
      <c r="PHN20" s="87"/>
      <c r="PHO20" s="87"/>
      <c r="PHP20" s="87"/>
      <c r="PHQ20" s="87"/>
      <c r="PHR20" s="87"/>
      <c r="PHS20" s="87"/>
      <c r="PHT20" s="87"/>
      <c r="PHU20" s="87"/>
      <c r="PHV20" s="87"/>
      <c r="PHW20" s="87"/>
      <c r="PHX20" s="87"/>
      <c r="PHY20" s="87"/>
      <c r="PHZ20" s="87"/>
      <c r="PIA20" s="87"/>
      <c r="PIB20" s="87"/>
      <c r="PIC20" s="87"/>
      <c r="PID20" s="87"/>
      <c r="PIE20" s="87"/>
      <c r="PIF20" s="87"/>
      <c r="PIG20" s="87"/>
      <c r="PIH20" s="87"/>
      <c r="PII20" s="87"/>
      <c r="PIJ20" s="87"/>
      <c r="PIK20" s="87"/>
      <c r="PIL20" s="87"/>
      <c r="PIM20" s="87"/>
      <c r="PIN20" s="87"/>
      <c r="PIO20" s="87"/>
      <c r="PIP20" s="87"/>
      <c r="PIQ20" s="87"/>
      <c r="PIR20" s="87"/>
      <c r="PIS20" s="87"/>
      <c r="PIT20" s="87"/>
      <c r="PIU20" s="87"/>
      <c r="PIV20" s="87"/>
      <c r="PIW20" s="87"/>
      <c r="PIX20" s="87"/>
      <c r="PIY20" s="87"/>
      <c r="PIZ20" s="87"/>
      <c r="PJA20" s="87"/>
      <c r="PJB20" s="87"/>
      <c r="PJC20" s="87"/>
      <c r="PJD20" s="87"/>
      <c r="PJE20" s="87"/>
      <c r="PJF20" s="87"/>
      <c r="PJG20" s="87"/>
      <c r="PJH20" s="87"/>
      <c r="PJI20" s="87"/>
      <c r="PJJ20" s="87"/>
      <c r="PJK20" s="87"/>
      <c r="PJL20" s="87"/>
      <c r="PJM20" s="87"/>
      <c r="PJN20" s="87"/>
      <c r="PJO20" s="87"/>
      <c r="PJP20" s="87"/>
      <c r="PJQ20" s="87"/>
      <c r="PJR20" s="87"/>
      <c r="PJS20" s="87"/>
      <c r="PJT20" s="87"/>
      <c r="PJU20" s="87"/>
      <c r="PJV20" s="87"/>
      <c r="PJW20" s="87"/>
      <c r="PJX20" s="87"/>
      <c r="PJY20" s="87"/>
      <c r="PJZ20" s="87"/>
      <c r="PKA20" s="87"/>
      <c r="PKB20" s="87"/>
      <c r="PKC20" s="87"/>
      <c r="PKD20" s="87"/>
      <c r="PKE20" s="87"/>
      <c r="PKF20" s="87"/>
      <c r="PKG20" s="87"/>
      <c r="PKH20" s="87"/>
      <c r="PKI20" s="87"/>
      <c r="PKJ20" s="87"/>
      <c r="PKK20" s="87"/>
      <c r="PKL20" s="87"/>
      <c r="PKM20" s="87"/>
      <c r="PKN20" s="87"/>
      <c r="PKO20" s="87"/>
      <c r="PKP20" s="87"/>
      <c r="PKQ20" s="87"/>
      <c r="PKR20" s="87"/>
      <c r="PKS20" s="87"/>
      <c r="PKT20" s="87"/>
      <c r="PKU20" s="87"/>
      <c r="PKV20" s="87"/>
      <c r="PKW20" s="87"/>
      <c r="PKX20" s="87"/>
      <c r="PKY20" s="87"/>
      <c r="PKZ20" s="87"/>
      <c r="PLA20" s="87"/>
      <c r="PLB20" s="87"/>
      <c r="PLC20" s="87"/>
      <c r="PLD20" s="87"/>
      <c r="PLE20" s="87"/>
      <c r="PLF20" s="87"/>
      <c r="PLG20" s="87"/>
      <c r="PLH20" s="87"/>
      <c r="PLI20" s="87"/>
      <c r="PLJ20" s="87"/>
      <c r="PLK20" s="87"/>
      <c r="PLL20" s="87"/>
      <c r="PLM20" s="87"/>
      <c r="PLN20" s="87"/>
      <c r="PLO20" s="87"/>
      <c r="PLP20" s="87"/>
      <c r="PLQ20" s="87"/>
      <c r="PLR20" s="87"/>
      <c r="PLS20" s="87"/>
      <c r="PLT20" s="87"/>
      <c r="PLU20" s="87"/>
      <c r="PLV20" s="87"/>
      <c r="PLW20" s="87"/>
      <c r="PLX20" s="87"/>
      <c r="PLY20" s="87"/>
      <c r="PLZ20" s="87"/>
      <c r="PMA20" s="87"/>
      <c r="PMB20" s="87"/>
      <c r="PMC20" s="87"/>
      <c r="PMD20" s="87"/>
      <c r="PME20" s="87"/>
      <c r="PMF20" s="87"/>
      <c r="PMG20" s="87"/>
      <c r="PMH20" s="87"/>
      <c r="PMI20" s="87"/>
      <c r="PMJ20" s="87"/>
      <c r="PMK20" s="87"/>
      <c r="PML20" s="87"/>
      <c r="PMM20" s="87"/>
      <c r="PMN20" s="87"/>
      <c r="PMO20" s="87"/>
      <c r="PMP20" s="87"/>
      <c r="PMQ20" s="87"/>
      <c r="PMR20" s="87"/>
      <c r="PMS20" s="87"/>
      <c r="PMT20" s="87"/>
      <c r="PMU20" s="87"/>
      <c r="PMV20" s="87"/>
      <c r="PMW20" s="87"/>
      <c r="PMX20" s="87"/>
      <c r="PMY20" s="87"/>
      <c r="PMZ20" s="87"/>
      <c r="PNA20" s="87"/>
      <c r="PNB20" s="87"/>
      <c r="PNC20" s="87"/>
      <c r="PND20" s="87"/>
      <c r="PNE20" s="87"/>
      <c r="PNF20" s="87"/>
      <c r="PNG20" s="87"/>
      <c r="PNH20" s="87"/>
      <c r="PNI20" s="87"/>
      <c r="PNJ20" s="87"/>
      <c r="PNK20" s="87"/>
      <c r="PNL20" s="87"/>
      <c r="PNM20" s="87"/>
      <c r="PNN20" s="87"/>
      <c r="PNO20" s="87"/>
      <c r="PNP20" s="87"/>
      <c r="PNQ20" s="87"/>
      <c r="PNR20" s="87"/>
      <c r="PNS20" s="87"/>
      <c r="PNT20" s="87"/>
      <c r="PNU20" s="87"/>
      <c r="PNV20" s="87"/>
      <c r="PNW20" s="87"/>
      <c r="PNX20" s="87"/>
      <c r="PNY20" s="87"/>
      <c r="PNZ20" s="87"/>
      <c r="POA20" s="87"/>
      <c r="POB20" s="87"/>
      <c r="POC20" s="87"/>
      <c r="POD20" s="87"/>
      <c r="POE20" s="87"/>
      <c r="POF20" s="87"/>
      <c r="POG20" s="87"/>
      <c r="POH20" s="87"/>
      <c r="POI20" s="87"/>
      <c r="POJ20" s="87"/>
      <c r="POK20" s="87"/>
      <c r="POL20" s="87"/>
      <c r="POM20" s="87"/>
      <c r="PON20" s="87"/>
      <c r="POO20" s="87"/>
      <c r="POP20" s="87"/>
      <c r="POQ20" s="87"/>
      <c r="POR20" s="87"/>
      <c r="POS20" s="87"/>
      <c r="POT20" s="87"/>
      <c r="POU20" s="87"/>
      <c r="POV20" s="87"/>
      <c r="POW20" s="87"/>
      <c r="POX20" s="87"/>
      <c r="POY20" s="87"/>
      <c r="POZ20" s="87"/>
      <c r="PPA20" s="87"/>
      <c r="PPB20" s="87"/>
      <c r="PPC20" s="87"/>
      <c r="PPD20" s="87"/>
      <c r="PPE20" s="87"/>
      <c r="PPF20" s="87"/>
      <c r="PPG20" s="87"/>
      <c r="PPH20" s="87"/>
      <c r="PPI20" s="87"/>
      <c r="PPJ20" s="87"/>
      <c r="PPK20" s="87"/>
      <c r="PPL20" s="87"/>
      <c r="PPM20" s="87"/>
      <c r="PPN20" s="87"/>
      <c r="PPO20" s="87"/>
      <c r="PPP20" s="87"/>
      <c r="PPQ20" s="87"/>
      <c r="PPR20" s="87"/>
      <c r="PPS20" s="87"/>
      <c r="PPT20" s="87"/>
      <c r="PPU20" s="87"/>
      <c r="PPV20" s="87"/>
      <c r="PPW20" s="87"/>
      <c r="PPX20" s="87"/>
      <c r="PPY20" s="87"/>
      <c r="PPZ20" s="87"/>
      <c r="PQA20" s="87"/>
      <c r="PQB20" s="87"/>
      <c r="PQC20" s="87"/>
      <c r="PQD20" s="87"/>
      <c r="PQE20" s="87"/>
      <c r="PQF20" s="87"/>
      <c r="PQG20" s="87"/>
      <c r="PQH20" s="87"/>
      <c r="PQI20" s="87"/>
      <c r="PQJ20" s="87"/>
      <c r="PQK20" s="87"/>
      <c r="PQL20" s="87"/>
      <c r="PQM20" s="87"/>
      <c r="PQN20" s="87"/>
      <c r="PQO20" s="87"/>
      <c r="PQP20" s="87"/>
      <c r="PQQ20" s="87"/>
      <c r="PQR20" s="87"/>
      <c r="PQS20" s="87"/>
      <c r="PQT20" s="87"/>
      <c r="PQU20" s="87"/>
      <c r="PQV20" s="87"/>
      <c r="PQW20" s="87"/>
      <c r="PQX20" s="87"/>
      <c r="PQY20" s="87"/>
      <c r="PQZ20" s="87"/>
      <c r="PRA20" s="87"/>
      <c r="PRB20" s="87"/>
      <c r="PRC20" s="87"/>
      <c r="PRD20" s="87"/>
      <c r="PRE20" s="87"/>
      <c r="PRF20" s="87"/>
      <c r="PRG20" s="87"/>
      <c r="PRH20" s="87"/>
      <c r="PRI20" s="87"/>
      <c r="PRJ20" s="87"/>
      <c r="PRK20" s="87"/>
      <c r="PRL20" s="87"/>
      <c r="PRM20" s="87"/>
      <c r="PRN20" s="87"/>
      <c r="PRO20" s="87"/>
      <c r="PRP20" s="87"/>
      <c r="PRQ20" s="87"/>
      <c r="PRR20" s="87"/>
      <c r="PRS20" s="87"/>
      <c r="PRT20" s="87"/>
      <c r="PRU20" s="87"/>
      <c r="PRV20" s="87"/>
      <c r="PRW20" s="87"/>
      <c r="PRX20" s="87"/>
      <c r="PRY20" s="87"/>
      <c r="PRZ20" s="87"/>
      <c r="PSA20" s="87"/>
      <c r="PSB20" s="87"/>
      <c r="PSC20" s="87"/>
      <c r="PSD20" s="87"/>
      <c r="PSE20" s="87"/>
      <c r="PSF20" s="87"/>
      <c r="PSG20" s="87"/>
      <c r="PSH20" s="87"/>
      <c r="PSI20" s="87"/>
      <c r="PSJ20" s="87"/>
      <c r="PSK20" s="87"/>
      <c r="PSL20" s="87"/>
      <c r="PSM20" s="87"/>
      <c r="PSN20" s="87"/>
      <c r="PSO20" s="87"/>
      <c r="PSP20" s="87"/>
      <c r="PSQ20" s="87"/>
      <c r="PSR20" s="87"/>
      <c r="PSS20" s="87"/>
      <c r="PST20" s="87"/>
      <c r="PSU20" s="87"/>
      <c r="PSV20" s="87"/>
      <c r="PSW20" s="87"/>
      <c r="PSX20" s="87"/>
      <c r="PSY20" s="87"/>
      <c r="PSZ20" s="87"/>
      <c r="PTA20" s="87"/>
      <c r="PTB20" s="87"/>
      <c r="PTC20" s="87"/>
      <c r="PTD20" s="87"/>
      <c r="PTE20" s="87"/>
      <c r="PTF20" s="87"/>
      <c r="PTG20" s="87"/>
      <c r="PTH20" s="87"/>
      <c r="PTI20" s="87"/>
      <c r="PTJ20" s="87"/>
      <c r="PTK20" s="87"/>
      <c r="PTL20" s="87"/>
      <c r="PTM20" s="87"/>
      <c r="PTN20" s="87"/>
      <c r="PTO20" s="87"/>
      <c r="PTP20" s="87"/>
      <c r="PTQ20" s="87"/>
      <c r="PTR20" s="87"/>
      <c r="PTS20" s="87"/>
      <c r="PTT20" s="87"/>
      <c r="PTU20" s="87"/>
      <c r="PTV20" s="87"/>
      <c r="PTW20" s="87"/>
      <c r="PTX20" s="87"/>
      <c r="PTY20" s="87"/>
      <c r="PTZ20" s="87"/>
      <c r="PUA20" s="87"/>
      <c r="PUB20" s="87"/>
      <c r="PUC20" s="87"/>
      <c r="PUD20" s="87"/>
      <c r="PUE20" s="87"/>
      <c r="PUF20" s="87"/>
      <c r="PUG20" s="87"/>
      <c r="PUH20" s="87"/>
      <c r="PUI20" s="87"/>
      <c r="PUJ20" s="87"/>
      <c r="PUK20" s="87"/>
      <c r="PUL20" s="87"/>
      <c r="PUM20" s="87"/>
      <c r="PUN20" s="87"/>
      <c r="PUO20" s="87"/>
      <c r="PUP20" s="87"/>
      <c r="PUQ20" s="87"/>
      <c r="PUR20" s="87"/>
      <c r="PUS20" s="87"/>
      <c r="PUT20" s="87"/>
      <c r="PUU20" s="87"/>
      <c r="PUV20" s="87"/>
      <c r="PUW20" s="87"/>
      <c r="PUX20" s="87"/>
      <c r="PUY20" s="87"/>
      <c r="PUZ20" s="87"/>
      <c r="PVA20" s="87"/>
      <c r="PVB20" s="87"/>
      <c r="PVC20" s="87"/>
      <c r="PVD20" s="87"/>
      <c r="PVE20" s="87"/>
      <c r="PVF20" s="87"/>
      <c r="PVG20" s="87"/>
      <c r="PVH20" s="87"/>
      <c r="PVI20" s="87"/>
      <c r="PVJ20" s="87"/>
      <c r="PVK20" s="87"/>
      <c r="PVL20" s="87"/>
      <c r="PVM20" s="87"/>
      <c r="PVN20" s="87"/>
      <c r="PVO20" s="87"/>
      <c r="PVP20" s="87"/>
      <c r="PVQ20" s="87"/>
      <c r="PVR20" s="87"/>
      <c r="PVS20" s="87"/>
      <c r="PVT20" s="87"/>
      <c r="PVU20" s="87"/>
      <c r="PVV20" s="87"/>
      <c r="PVW20" s="87"/>
      <c r="PVX20" s="87"/>
      <c r="PVY20" s="87"/>
      <c r="PVZ20" s="87"/>
      <c r="PWA20" s="87"/>
      <c r="PWB20" s="87"/>
      <c r="PWC20" s="87"/>
      <c r="PWD20" s="87"/>
      <c r="PWE20" s="87"/>
      <c r="PWF20" s="87"/>
      <c r="PWG20" s="87"/>
      <c r="PWH20" s="87"/>
      <c r="PWI20" s="87"/>
      <c r="PWJ20" s="87"/>
      <c r="PWK20" s="87"/>
      <c r="PWL20" s="87"/>
      <c r="PWM20" s="87"/>
      <c r="PWN20" s="87"/>
      <c r="PWO20" s="87"/>
      <c r="PWP20" s="87"/>
      <c r="PWQ20" s="87"/>
      <c r="PWR20" s="87"/>
      <c r="PWS20" s="87"/>
      <c r="PWT20" s="87"/>
      <c r="PWU20" s="87"/>
      <c r="PWV20" s="87"/>
      <c r="PWW20" s="87"/>
      <c r="PWX20" s="87"/>
      <c r="PWY20" s="87"/>
      <c r="PWZ20" s="87"/>
      <c r="PXA20" s="87"/>
      <c r="PXB20" s="87"/>
      <c r="PXC20" s="87"/>
      <c r="PXD20" s="87"/>
      <c r="PXE20" s="87"/>
      <c r="PXF20" s="87"/>
      <c r="PXG20" s="87"/>
      <c r="PXH20" s="87"/>
      <c r="PXI20" s="87"/>
      <c r="PXJ20" s="87"/>
      <c r="PXK20" s="87"/>
      <c r="PXL20" s="87"/>
      <c r="PXM20" s="87"/>
      <c r="PXN20" s="87"/>
      <c r="PXO20" s="87"/>
      <c r="PXP20" s="87"/>
      <c r="PXQ20" s="87"/>
      <c r="PXR20" s="87"/>
      <c r="PXS20" s="87"/>
      <c r="PXT20" s="87"/>
      <c r="PXU20" s="87"/>
      <c r="PXV20" s="87"/>
      <c r="PXW20" s="87"/>
      <c r="PXX20" s="87"/>
      <c r="PXY20" s="87"/>
      <c r="PXZ20" s="87"/>
      <c r="PYA20" s="87"/>
      <c r="PYB20" s="87"/>
      <c r="PYC20" s="87"/>
      <c r="PYD20" s="87"/>
      <c r="PYE20" s="87"/>
      <c r="PYF20" s="87"/>
      <c r="PYG20" s="87"/>
      <c r="PYH20" s="87"/>
      <c r="PYI20" s="87"/>
      <c r="PYJ20" s="87"/>
      <c r="PYK20" s="87"/>
      <c r="PYL20" s="87"/>
      <c r="PYM20" s="87"/>
      <c r="PYN20" s="87"/>
      <c r="PYO20" s="87"/>
      <c r="PYP20" s="87"/>
      <c r="PYQ20" s="87"/>
      <c r="PYR20" s="87"/>
      <c r="PYS20" s="87"/>
      <c r="PYT20" s="87"/>
      <c r="PYU20" s="87"/>
      <c r="PYV20" s="87"/>
      <c r="PYW20" s="87"/>
      <c r="PYX20" s="87"/>
      <c r="PYY20" s="87"/>
      <c r="PYZ20" s="87"/>
      <c r="PZA20" s="87"/>
      <c r="PZB20" s="87"/>
      <c r="PZC20" s="87"/>
      <c r="PZD20" s="87"/>
      <c r="PZE20" s="87"/>
      <c r="PZF20" s="87"/>
      <c r="PZG20" s="87"/>
      <c r="PZH20" s="87"/>
      <c r="PZI20" s="87"/>
      <c r="PZJ20" s="87"/>
      <c r="PZK20" s="87"/>
      <c r="PZL20" s="87"/>
      <c r="PZM20" s="87"/>
      <c r="PZN20" s="87"/>
      <c r="PZO20" s="87"/>
      <c r="PZP20" s="87"/>
      <c r="PZQ20" s="87"/>
      <c r="PZR20" s="87"/>
      <c r="PZS20" s="87"/>
      <c r="PZT20" s="87"/>
      <c r="PZU20" s="87"/>
      <c r="PZV20" s="87"/>
      <c r="PZW20" s="87"/>
      <c r="PZX20" s="87"/>
      <c r="PZY20" s="87"/>
      <c r="PZZ20" s="87"/>
      <c r="QAA20" s="87"/>
      <c r="QAB20" s="87"/>
      <c r="QAC20" s="87"/>
      <c r="QAD20" s="87"/>
      <c r="QAE20" s="87"/>
      <c r="QAF20" s="87"/>
      <c r="QAG20" s="87"/>
      <c r="QAH20" s="87"/>
      <c r="QAI20" s="87"/>
      <c r="QAJ20" s="87"/>
      <c r="QAK20" s="87"/>
      <c r="QAL20" s="87"/>
      <c r="QAM20" s="87"/>
      <c r="QAN20" s="87"/>
      <c r="QAO20" s="87"/>
      <c r="QAP20" s="87"/>
      <c r="QAQ20" s="87"/>
      <c r="QAR20" s="87"/>
      <c r="QAS20" s="87"/>
      <c r="QAT20" s="87"/>
      <c r="QAU20" s="87"/>
      <c r="QAV20" s="87"/>
      <c r="QAW20" s="87"/>
      <c r="QAX20" s="87"/>
      <c r="QAY20" s="87"/>
      <c r="QAZ20" s="87"/>
      <c r="QBA20" s="87"/>
      <c r="QBB20" s="87"/>
      <c r="QBC20" s="87"/>
      <c r="QBD20" s="87"/>
      <c r="QBE20" s="87"/>
      <c r="QBF20" s="87"/>
      <c r="QBG20" s="87"/>
      <c r="QBH20" s="87"/>
      <c r="QBI20" s="87"/>
      <c r="QBJ20" s="87"/>
      <c r="QBK20" s="87"/>
      <c r="QBL20" s="87"/>
      <c r="QBM20" s="87"/>
      <c r="QBN20" s="87"/>
      <c r="QBO20" s="87"/>
      <c r="QBP20" s="87"/>
      <c r="QBQ20" s="87"/>
      <c r="QBR20" s="87"/>
      <c r="QBS20" s="87"/>
      <c r="QBT20" s="87"/>
      <c r="QBU20" s="87"/>
      <c r="QBV20" s="87"/>
      <c r="QBW20" s="87"/>
      <c r="QBX20" s="87"/>
      <c r="QBY20" s="87"/>
      <c r="QBZ20" s="87"/>
      <c r="QCA20" s="87"/>
      <c r="QCB20" s="87"/>
      <c r="QCC20" s="87"/>
      <c r="QCD20" s="87"/>
      <c r="QCE20" s="87"/>
      <c r="QCF20" s="87"/>
      <c r="QCG20" s="87"/>
      <c r="QCH20" s="87"/>
      <c r="QCI20" s="87"/>
      <c r="QCJ20" s="87"/>
      <c r="QCK20" s="87"/>
      <c r="QCL20" s="87"/>
      <c r="QCM20" s="87"/>
      <c r="QCN20" s="87"/>
      <c r="QCO20" s="87"/>
      <c r="QCP20" s="87"/>
      <c r="QCQ20" s="87"/>
      <c r="QCR20" s="87"/>
      <c r="QCS20" s="87"/>
      <c r="QCT20" s="87"/>
      <c r="QCU20" s="87"/>
      <c r="QCV20" s="87"/>
      <c r="QCW20" s="87"/>
      <c r="QCX20" s="87"/>
      <c r="QCY20" s="87"/>
      <c r="QCZ20" s="87"/>
      <c r="QDA20" s="87"/>
      <c r="QDB20" s="87"/>
      <c r="QDC20" s="87"/>
      <c r="QDD20" s="87"/>
      <c r="QDE20" s="87"/>
      <c r="QDF20" s="87"/>
      <c r="QDG20" s="87"/>
      <c r="QDH20" s="87"/>
      <c r="QDI20" s="87"/>
      <c r="QDJ20" s="87"/>
      <c r="QDK20" s="87"/>
      <c r="QDL20" s="87"/>
      <c r="QDM20" s="87"/>
      <c r="QDN20" s="87"/>
      <c r="QDO20" s="87"/>
      <c r="QDP20" s="87"/>
      <c r="QDQ20" s="87"/>
      <c r="QDR20" s="87"/>
      <c r="QDS20" s="87"/>
      <c r="QDT20" s="87"/>
      <c r="QDU20" s="87"/>
      <c r="QDV20" s="87"/>
      <c r="QDW20" s="87"/>
      <c r="QDX20" s="87"/>
      <c r="QDY20" s="87"/>
      <c r="QDZ20" s="87"/>
      <c r="QEA20" s="87"/>
      <c r="QEB20" s="87"/>
      <c r="QEC20" s="87"/>
      <c r="QED20" s="87"/>
      <c r="QEE20" s="87"/>
      <c r="QEF20" s="87"/>
      <c r="QEG20" s="87"/>
      <c r="QEH20" s="87"/>
      <c r="QEI20" s="87"/>
      <c r="QEJ20" s="87"/>
      <c r="QEK20" s="87"/>
      <c r="QEL20" s="87"/>
      <c r="QEM20" s="87"/>
      <c r="QEN20" s="87"/>
      <c r="QEO20" s="87"/>
      <c r="QEP20" s="87"/>
      <c r="QEQ20" s="87"/>
      <c r="QER20" s="87"/>
      <c r="QES20" s="87"/>
      <c r="QET20" s="87"/>
      <c r="QEU20" s="87"/>
      <c r="QEV20" s="87"/>
      <c r="QEW20" s="87"/>
      <c r="QEX20" s="87"/>
      <c r="QEY20" s="87"/>
      <c r="QEZ20" s="87"/>
      <c r="QFA20" s="87"/>
      <c r="QFB20" s="87"/>
      <c r="QFC20" s="87"/>
      <c r="QFD20" s="87"/>
      <c r="QFE20" s="87"/>
      <c r="QFF20" s="87"/>
      <c r="QFG20" s="87"/>
      <c r="QFH20" s="87"/>
      <c r="QFI20" s="87"/>
      <c r="QFJ20" s="87"/>
      <c r="QFK20" s="87"/>
      <c r="QFL20" s="87"/>
      <c r="QFM20" s="87"/>
      <c r="QFN20" s="87"/>
      <c r="QFO20" s="87"/>
      <c r="QFP20" s="87"/>
      <c r="QFQ20" s="87"/>
      <c r="QFR20" s="87"/>
      <c r="QFS20" s="87"/>
      <c r="QFT20" s="87"/>
      <c r="QFU20" s="87"/>
      <c r="QFV20" s="87"/>
      <c r="QFW20" s="87"/>
      <c r="QFX20" s="87"/>
      <c r="QFY20" s="87"/>
      <c r="QFZ20" s="87"/>
      <c r="QGA20" s="87"/>
      <c r="QGB20" s="87"/>
      <c r="QGC20" s="87"/>
      <c r="QGD20" s="87"/>
      <c r="QGE20" s="87"/>
      <c r="QGF20" s="87"/>
      <c r="QGG20" s="87"/>
      <c r="QGH20" s="87"/>
      <c r="QGI20" s="87"/>
      <c r="QGJ20" s="87"/>
      <c r="QGK20" s="87"/>
      <c r="QGL20" s="87"/>
      <c r="QGM20" s="87"/>
      <c r="QGN20" s="87"/>
      <c r="QGO20" s="87"/>
      <c r="QGP20" s="87"/>
      <c r="QGQ20" s="87"/>
      <c r="QGR20" s="87"/>
      <c r="QGS20" s="87"/>
      <c r="QGT20" s="87"/>
      <c r="QGU20" s="87"/>
      <c r="QGV20" s="87"/>
      <c r="QGW20" s="87"/>
      <c r="QGX20" s="87"/>
      <c r="QGY20" s="87"/>
      <c r="QGZ20" s="87"/>
      <c r="QHA20" s="87"/>
      <c r="QHB20" s="87"/>
      <c r="QHC20" s="87"/>
      <c r="QHD20" s="87"/>
      <c r="QHE20" s="87"/>
      <c r="QHF20" s="87"/>
      <c r="QHG20" s="87"/>
      <c r="QHH20" s="87"/>
      <c r="QHI20" s="87"/>
      <c r="QHJ20" s="87"/>
      <c r="QHK20" s="87"/>
      <c r="QHL20" s="87"/>
      <c r="QHM20" s="87"/>
      <c r="QHN20" s="87"/>
      <c r="QHO20" s="87"/>
      <c r="QHP20" s="87"/>
      <c r="QHQ20" s="87"/>
      <c r="QHR20" s="87"/>
      <c r="QHS20" s="87"/>
      <c r="QHT20" s="87"/>
      <c r="QHU20" s="87"/>
      <c r="QHV20" s="87"/>
      <c r="QHW20" s="87"/>
      <c r="QHX20" s="87"/>
      <c r="QHY20" s="87"/>
      <c r="QHZ20" s="87"/>
      <c r="QIA20" s="87"/>
      <c r="QIB20" s="87"/>
      <c r="QIC20" s="87"/>
      <c r="QID20" s="87"/>
      <c r="QIE20" s="87"/>
      <c r="QIF20" s="87"/>
      <c r="QIG20" s="87"/>
      <c r="QIH20" s="87"/>
      <c r="QII20" s="87"/>
      <c r="QIJ20" s="87"/>
      <c r="QIK20" s="87"/>
      <c r="QIL20" s="87"/>
      <c r="QIM20" s="87"/>
      <c r="QIN20" s="87"/>
      <c r="QIO20" s="87"/>
      <c r="QIP20" s="87"/>
      <c r="QIQ20" s="87"/>
      <c r="QIR20" s="87"/>
      <c r="QIS20" s="87"/>
      <c r="QIT20" s="87"/>
      <c r="QIU20" s="87"/>
      <c r="QIV20" s="87"/>
      <c r="QIW20" s="87"/>
      <c r="QIX20" s="87"/>
      <c r="QIY20" s="87"/>
      <c r="QIZ20" s="87"/>
      <c r="QJA20" s="87"/>
      <c r="QJB20" s="87"/>
      <c r="QJC20" s="87"/>
      <c r="QJD20" s="87"/>
      <c r="QJE20" s="87"/>
      <c r="QJF20" s="87"/>
      <c r="QJG20" s="87"/>
      <c r="QJH20" s="87"/>
      <c r="QJI20" s="87"/>
      <c r="QJJ20" s="87"/>
      <c r="QJK20" s="87"/>
      <c r="QJL20" s="87"/>
      <c r="QJM20" s="87"/>
      <c r="QJN20" s="87"/>
      <c r="QJO20" s="87"/>
      <c r="QJP20" s="87"/>
      <c r="QJQ20" s="87"/>
      <c r="QJR20" s="87"/>
      <c r="QJS20" s="87"/>
      <c r="QJT20" s="87"/>
      <c r="QJU20" s="87"/>
      <c r="QJV20" s="87"/>
      <c r="QJW20" s="87"/>
      <c r="QJX20" s="87"/>
      <c r="QJY20" s="87"/>
      <c r="QJZ20" s="87"/>
      <c r="QKA20" s="87"/>
      <c r="QKB20" s="87"/>
      <c r="QKC20" s="87"/>
      <c r="QKD20" s="87"/>
      <c r="QKE20" s="87"/>
      <c r="QKF20" s="87"/>
      <c r="QKG20" s="87"/>
      <c r="QKH20" s="87"/>
      <c r="QKI20" s="87"/>
      <c r="QKJ20" s="87"/>
      <c r="QKK20" s="87"/>
      <c r="QKL20" s="87"/>
      <c r="QKM20" s="87"/>
      <c r="QKN20" s="87"/>
      <c r="QKO20" s="87"/>
      <c r="QKP20" s="87"/>
      <c r="QKQ20" s="87"/>
      <c r="QKR20" s="87"/>
      <c r="QKS20" s="87"/>
      <c r="QKT20" s="87"/>
      <c r="QKU20" s="87"/>
      <c r="QKV20" s="87"/>
      <c r="QKW20" s="87"/>
      <c r="QKX20" s="87"/>
      <c r="QKY20" s="87"/>
      <c r="QKZ20" s="87"/>
      <c r="QLA20" s="87"/>
      <c r="QLB20" s="87"/>
      <c r="QLC20" s="87"/>
      <c r="QLD20" s="87"/>
      <c r="QLE20" s="87"/>
      <c r="QLF20" s="87"/>
      <c r="QLG20" s="87"/>
      <c r="QLH20" s="87"/>
      <c r="QLI20" s="87"/>
      <c r="QLJ20" s="87"/>
      <c r="QLK20" s="87"/>
      <c r="QLL20" s="87"/>
      <c r="QLM20" s="87"/>
      <c r="QLN20" s="87"/>
      <c r="QLO20" s="87"/>
      <c r="QLP20" s="87"/>
      <c r="QLQ20" s="87"/>
      <c r="QLR20" s="87"/>
      <c r="QLS20" s="87"/>
      <c r="QLT20" s="87"/>
      <c r="QLU20" s="87"/>
      <c r="QLV20" s="87"/>
      <c r="QLW20" s="87"/>
      <c r="QLX20" s="87"/>
      <c r="QLY20" s="87"/>
      <c r="QLZ20" s="87"/>
      <c r="QMA20" s="87"/>
      <c r="QMB20" s="87"/>
      <c r="QMC20" s="87"/>
      <c r="QMD20" s="87"/>
      <c r="QME20" s="87"/>
      <c r="QMF20" s="87"/>
      <c r="QMG20" s="87"/>
      <c r="QMH20" s="87"/>
      <c r="QMI20" s="87"/>
      <c r="QMJ20" s="87"/>
      <c r="QMK20" s="87"/>
      <c r="QML20" s="87"/>
      <c r="QMM20" s="87"/>
      <c r="QMN20" s="87"/>
      <c r="QMO20" s="87"/>
      <c r="QMP20" s="87"/>
      <c r="QMQ20" s="87"/>
      <c r="QMR20" s="87"/>
      <c r="QMS20" s="87"/>
      <c r="QMT20" s="87"/>
      <c r="QMU20" s="87"/>
      <c r="QMV20" s="87"/>
      <c r="QMW20" s="87"/>
      <c r="QMX20" s="87"/>
      <c r="QMY20" s="87"/>
      <c r="QMZ20" s="87"/>
      <c r="QNA20" s="87"/>
      <c r="QNB20" s="87"/>
      <c r="QNC20" s="87"/>
      <c r="QND20" s="87"/>
      <c r="QNE20" s="87"/>
      <c r="QNF20" s="87"/>
      <c r="QNG20" s="87"/>
      <c r="QNH20" s="87"/>
      <c r="QNI20" s="87"/>
      <c r="QNJ20" s="87"/>
      <c r="QNK20" s="87"/>
      <c r="QNL20" s="87"/>
      <c r="QNM20" s="87"/>
      <c r="QNN20" s="87"/>
      <c r="QNO20" s="87"/>
      <c r="QNP20" s="87"/>
      <c r="QNQ20" s="87"/>
      <c r="QNR20" s="87"/>
      <c r="QNS20" s="87"/>
      <c r="QNT20" s="87"/>
      <c r="QNU20" s="87"/>
      <c r="QNV20" s="87"/>
      <c r="QNW20" s="87"/>
      <c r="QNX20" s="87"/>
      <c r="QNY20" s="87"/>
      <c r="QNZ20" s="87"/>
      <c r="QOA20" s="87"/>
      <c r="QOB20" s="87"/>
      <c r="QOC20" s="87"/>
      <c r="QOD20" s="87"/>
      <c r="QOE20" s="87"/>
      <c r="QOF20" s="87"/>
      <c r="QOG20" s="87"/>
      <c r="QOH20" s="87"/>
      <c r="QOI20" s="87"/>
      <c r="QOJ20" s="87"/>
      <c r="QOK20" s="87"/>
      <c r="QOL20" s="87"/>
      <c r="QOM20" s="87"/>
      <c r="QON20" s="87"/>
      <c r="QOO20" s="87"/>
      <c r="QOP20" s="87"/>
      <c r="QOQ20" s="87"/>
      <c r="QOR20" s="87"/>
      <c r="QOS20" s="87"/>
      <c r="QOT20" s="87"/>
      <c r="QOU20" s="87"/>
      <c r="QOV20" s="87"/>
      <c r="QOW20" s="87"/>
      <c r="QOX20" s="87"/>
      <c r="QOY20" s="87"/>
      <c r="QOZ20" s="87"/>
      <c r="QPA20" s="87"/>
      <c r="QPB20" s="87"/>
      <c r="QPC20" s="87"/>
      <c r="QPD20" s="87"/>
      <c r="QPE20" s="87"/>
      <c r="QPF20" s="87"/>
      <c r="QPG20" s="87"/>
      <c r="QPH20" s="87"/>
      <c r="QPI20" s="87"/>
      <c r="QPJ20" s="87"/>
      <c r="QPK20" s="87"/>
      <c r="QPL20" s="87"/>
      <c r="QPM20" s="87"/>
      <c r="QPN20" s="87"/>
      <c r="QPO20" s="87"/>
      <c r="QPP20" s="87"/>
      <c r="QPQ20" s="87"/>
      <c r="QPR20" s="87"/>
      <c r="QPS20" s="87"/>
      <c r="QPT20" s="87"/>
      <c r="QPU20" s="87"/>
      <c r="QPV20" s="87"/>
      <c r="QPW20" s="87"/>
      <c r="QPX20" s="87"/>
      <c r="QPY20" s="87"/>
      <c r="QPZ20" s="87"/>
      <c r="QQA20" s="87"/>
      <c r="QQB20" s="87"/>
      <c r="QQC20" s="87"/>
      <c r="QQD20" s="87"/>
      <c r="QQE20" s="87"/>
      <c r="QQF20" s="87"/>
      <c r="QQG20" s="87"/>
      <c r="QQH20" s="87"/>
      <c r="QQI20" s="87"/>
      <c r="QQJ20" s="87"/>
      <c r="QQK20" s="87"/>
      <c r="QQL20" s="87"/>
      <c r="QQM20" s="87"/>
      <c r="QQN20" s="87"/>
      <c r="QQO20" s="87"/>
      <c r="QQP20" s="87"/>
      <c r="QQQ20" s="87"/>
      <c r="QQR20" s="87"/>
      <c r="QQS20" s="87"/>
      <c r="QQT20" s="87"/>
      <c r="QQU20" s="87"/>
      <c r="QQV20" s="87"/>
      <c r="QQW20" s="87"/>
      <c r="QQX20" s="87"/>
      <c r="QQY20" s="87"/>
      <c r="QQZ20" s="87"/>
      <c r="QRA20" s="87"/>
      <c r="QRB20" s="87"/>
      <c r="QRC20" s="87"/>
      <c r="QRD20" s="87"/>
      <c r="QRE20" s="87"/>
      <c r="QRF20" s="87"/>
      <c r="QRG20" s="87"/>
      <c r="QRH20" s="87"/>
      <c r="QRI20" s="87"/>
      <c r="QRJ20" s="87"/>
      <c r="QRK20" s="87"/>
      <c r="QRL20" s="87"/>
      <c r="QRM20" s="87"/>
      <c r="QRN20" s="87"/>
      <c r="QRO20" s="87"/>
      <c r="QRP20" s="87"/>
      <c r="QRQ20" s="87"/>
      <c r="QRR20" s="87"/>
      <c r="QRS20" s="87"/>
      <c r="QRT20" s="87"/>
      <c r="QRU20" s="87"/>
      <c r="QRV20" s="87"/>
      <c r="QRW20" s="87"/>
      <c r="QRX20" s="87"/>
      <c r="QRY20" s="87"/>
      <c r="QRZ20" s="87"/>
      <c r="QSA20" s="87"/>
      <c r="QSB20" s="87"/>
      <c r="QSC20" s="87"/>
      <c r="QSD20" s="87"/>
      <c r="QSE20" s="87"/>
      <c r="QSF20" s="87"/>
      <c r="QSG20" s="87"/>
      <c r="QSH20" s="87"/>
      <c r="QSI20" s="87"/>
      <c r="QSJ20" s="87"/>
      <c r="QSK20" s="87"/>
      <c r="QSL20" s="87"/>
      <c r="QSM20" s="87"/>
      <c r="QSN20" s="87"/>
      <c r="QSO20" s="87"/>
      <c r="QSP20" s="87"/>
      <c r="QSQ20" s="87"/>
      <c r="QSR20" s="87"/>
      <c r="QSS20" s="87"/>
      <c r="QST20" s="87"/>
      <c r="QSU20" s="87"/>
      <c r="QSV20" s="87"/>
      <c r="QSW20" s="87"/>
      <c r="QSX20" s="87"/>
      <c r="QSY20" s="87"/>
      <c r="QSZ20" s="87"/>
      <c r="QTA20" s="87"/>
      <c r="QTB20" s="87"/>
      <c r="QTC20" s="87"/>
      <c r="QTD20" s="87"/>
      <c r="QTE20" s="87"/>
      <c r="QTF20" s="87"/>
      <c r="QTG20" s="87"/>
      <c r="QTH20" s="87"/>
      <c r="QTI20" s="87"/>
      <c r="QTJ20" s="87"/>
      <c r="QTK20" s="87"/>
      <c r="QTL20" s="87"/>
      <c r="QTM20" s="87"/>
      <c r="QTN20" s="87"/>
      <c r="QTO20" s="87"/>
      <c r="QTP20" s="87"/>
      <c r="QTQ20" s="87"/>
      <c r="QTR20" s="87"/>
      <c r="QTS20" s="87"/>
      <c r="QTT20" s="87"/>
      <c r="QTU20" s="87"/>
      <c r="QTV20" s="87"/>
      <c r="QTW20" s="87"/>
      <c r="QTX20" s="87"/>
      <c r="QTY20" s="87"/>
      <c r="QTZ20" s="87"/>
      <c r="QUA20" s="87"/>
      <c r="QUB20" s="87"/>
      <c r="QUC20" s="87"/>
      <c r="QUD20" s="87"/>
      <c r="QUE20" s="87"/>
      <c r="QUF20" s="87"/>
      <c r="QUG20" s="87"/>
      <c r="QUH20" s="87"/>
      <c r="QUI20" s="87"/>
      <c r="QUJ20" s="87"/>
      <c r="QUK20" s="87"/>
      <c r="QUL20" s="87"/>
      <c r="QUM20" s="87"/>
      <c r="QUN20" s="87"/>
      <c r="QUO20" s="87"/>
      <c r="QUP20" s="87"/>
      <c r="QUQ20" s="87"/>
      <c r="QUR20" s="87"/>
      <c r="QUS20" s="87"/>
      <c r="QUT20" s="87"/>
      <c r="QUU20" s="87"/>
      <c r="QUV20" s="87"/>
      <c r="QUW20" s="87"/>
      <c r="QUX20" s="87"/>
      <c r="QUY20" s="87"/>
      <c r="QUZ20" s="87"/>
      <c r="QVA20" s="87"/>
      <c r="QVB20" s="87"/>
      <c r="QVC20" s="87"/>
      <c r="QVD20" s="87"/>
      <c r="QVE20" s="87"/>
      <c r="QVF20" s="87"/>
      <c r="QVG20" s="87"/>
      <c r="QVH20" s="87"/>
      <c r="QVI20" s="87"/>
      <c r="QVJ20" s="87"/>
      <c r="QVK20" s="87"/>
      <c r="QVL20" s="87"/>
      <c r="QVM20" s="87"/>
      <c r="QVN20" s="87"/>
      <c r="QVO20" s="87"/>
      <c r="QVP20" s="87"/>
      <c r="QVQ20" s="87"/>
      <c r="QVR20" s="87"/>
      <c r="QVS20" s="87"/>
      <c r="QVT20" s="87"/>
      <c r="QVU20" s="87"/>
      <c r="QVV20" s="87"/>
      <c r="QVW20" s="87"/>
      <c r="QVX20" s="87"/>
      <c r="QVY20" s="87"/>
      <c r="QVZ20" s="87"/>
      <c r="QWA20" s="87"/>
      <c r="QWB20" s="87"/>
      <c r="QWC20" s="87"/>
      <c r="QWD20" s="87"/>
      <c r="QWE20" s="87"/>
      <c r="QWF20" s="87"/>
      <c r="QWG20" s="87"/>
      <c r="QWH20" s="87"/>
      <c r="QWI20" s="87"/>
      <c r="QWJ20" s="87"/>
      <c r="QWK20" s="87"/>
      <c r="QWL20" s="87"/>
      <c r="QWM20" s="87"/>
      <c r="QWN20" s="87"/>
      <c r="QWO20" s="87"/>
      <c r="QWP20" s="87"/>
      <c r="QWQ20" s="87"/>
      <c r="QWR20" s="87"/>
      <c r="QWS20" s="87"/>
      <c r="QWT20" s="87"/>
      <c r="QWU20" s="87"/>
      <c r="QWV20" s="87"/>
      <c r="QWW20" s="87"/>
      <c r="QWX20" s="87"/>
      <c r="QWY20" s="87"/>
      <c r="QWZ20" s="87"/>
      <c r="QXA20" s="87"/>
      <c r="QXB20" s="87"/>
      <c r="QXC20" s="87"/>
      <c r="QXD20" s="87"/>
      <c r="QXE20" s="87"/>
      <c r="QXF20" s="87"/>
      <c r="QXG20" s="87"/>
      <c r="QXH20" s="87"/>
      <c r="QXI20" s="87"/>
      <c r="QXJ20" s="87"/>
      <c r="QXK20" s="87"/>
      <c r="QXL20" s="87"/>
      <c r="QXM20" s="87"/>
      <c r="QXN20" s="87"/>
      <c r="QXO20" s="87"/>
      <c r="QXP20" s="87"/>
      <c r="QXQ20" s="87"/>
      <c r="QXR20" s="87"/>
      <c r="QXS20" s="87"/>
      <c r="QXT20" s="87"/>
      <c r="QXU20" s="87"/>
      <c r="QXV20" s="87"/>
      <c r="QXW20" s="87"/>
      <c r="QXX20" s="87"/>
      <c r="QXY20" s="87"/>
      <c r="QXZ20" s="87"/>
      <c r="QYA20" s="87"/>
      <c r="QYB20" s="87"/>
      <c r="QYC20" s="87"/>
      <c r="QYD20" s="87"/>
      <c r="QYE20" s="87"/>
      <c r="QYF20" s="87"/>
      <c r="QYG20" s="87"/>
      <c r="QYH20" s="87"/>
      <c r="QYI20" s="87"/>
      <c r="QYJ20" s="87"/>
      <c r="QYK20" s="87"/>
      <c r="QYL20" s="87"/>
      <c r="QYM20" s="87"/>
      <c r="QYN20" s="87"/>
      <c r="QYO20" s="87"/>
      <c r="QYP20" s="87"/>
      <c r="QYQ20" s="87"/>
      <c r="QYR20" s="87"/>
      <c r="QYS20" s="87"/>
      <c r="QYT20" s="87"/>
      <c r="QYU20" s="87"/>
      <c r="QYV20" s="87"/>
      <c r="QYW20" s="87"/>
      <c r="QYX20" s="87"/>
      <c r="QYY20" s="87"/>
      <c r="QYZ20" s="87"/>
      <c r="QZA20" s="87"/>
      <c r="QZB20" s="87"/>
      <c r="QZC20" s="87"/>
      <c r="QZD20" s="87"/>
      <c r="QZE20" s="87"/>
      <c r="QZF20" s="87"/>
      <c r="QZG20" s="87"/>
      <c r="QZH20" s="87"/>
      <c r="QZI20" s="87"/>
      <c r="QZJ20" s="87"/>
      <c r="QZK20" s="87"/>
      <c r="QZL20" s="87"/>
      <c r="QZM20" s="87"/>
      <c r="QZN20" s="87"/>
      <c r="QZO20" s="87"/>
      <c r="QZP20" s="87"/>
      <c r="QZQ20" s="87"/>
      <c r="QZR20" s="87"/>
      <c r="QZS20" s="87"/>
      <c r="QZT20" s="87"/>
      <c r="QZU20" s="87"/>
      <c r="QZV20" s="87"/>
      <c r="QZW20" s="87"/>
      <c r="QZX20" s="87"/>
      <c r="QZY20" s="87"/>
      <c r="QZZ20" s="87"/>
      <c r="RAA20" s="87"/>
      <c r="RAB20" s="87"/>
      <c r="RAC20" s="87"/>
      <c r="RAD20" s="87"/>
      <c r="RAE20" s="87"/>
      <c r="RAF20" s="87"/>
      <c r="RAG20" s="87"/>
      <c r="RAH20" s="87"/>
      <c r="RAI20" s="87"/>
      <c r="RAJ20" s="87"/>
      <c r="RAK20" s="87"/>
      <c r="RAL20" s="87"/>
      <c r="RAM20" s="87"/>
      <c r="RAN20" s="87"/>
      <c r="RAO20" s="87"/>
      <c r="RAP20" s="87"/>
      <c r="RAQ20" s="87"/>
      <c r="RAR20" s="87"/>
      <c r="RAS20" s="87"/>
      <c r="RAT20" s="87"/>
      <c r="RAU20" s="87"/>
      <c r="RAV20" s="87"/>
      <c r="RAW20" s="87"/>
      <c r="RAX20" s="87"/>
      <c r="RAY20" s="87"/>
      <c r="RAZ20" s="87"/>
      <c r="RBA20" s="87"/>
      <c r="RBB20" s="87"/>
      <c r="RBC20" s="87"/>
      <c r="RBD20" s="87"/>
      <c r="RBE20" s="87"/>
      <c r="RBF20" s="87"/>
      <c r="RBG20" s="87"/>
      <c r="RBH20" s="87"/>
      <c r="RBI20" s="87"/>
      <c r="RBJ20" s="87"/>
      <c r="RBK20" s="87"/>
      <c r="RBL20" s="87"/>
      <c r="RBM20" s="87"/>
      <c r="RBN20" s="87"/>
      <c r="RBO20" s="87"/>
      <c r="RBP20" s="87"/>
      <c r="RBQ20" s="87"/>
      <c r="RBR20" s="87"/>
      <c r="RBS20" s="87"/>
      <c r="RBT20" s="87"/>
      <c r="RBU20" s="87"/>
      <c r="RBV20" s="87"/>
      <c r="RBW20" s="87"/>
      <c r="RBX20" s="87"/>
      <c r="RBY20" s="87"/>
      <c r="RBZ20" s="87"/>
      <c r="RCA20" s="87"/>
      <c r="RCB20" s="87"/>
      <c r="RCC20" s="87"/>
      <c r="RCD20" s="87"/>
      <c r="RCE20" s="87"/>
      <c r="RCF20" s="87"/>
      <c r="RCG20" s="87"/>
      <c r="RCH20" s="87"/>
      <c r="RCI20" s="87"/>
      <c r="RCJ20" s="87"/>
      <c r="RCK20" s="87"/>
      <c r="RCL20" s="87"/>
      <c r="RCM20" s="87"/>
      <c r="RCN20" s="87"/>
      <c r="RCO20" s="87"/>
      <c r="RCP20" s="87"/>
      <c r="RCQ20" s="87"/>
      <c r="RCR20" s="87"/>
      <c r="RCS20" s="87"/>
      <c r="RCT20" s="87"/>
      <c r="RCU20" s="87"/>
      <c r="RCV20" s="87"/>
      <c r="RCW20" s="87"/>
      <c r="RCX20" s="87"/>
      <c r="RCY20" s="87"/>
      <c r="RCZ20" s="87"/>
      <c r="RDA20" s="87"/>
      <c r="RDB20" s="87"/>
      <c r="RDC20" s="87"/>
      <c r="RDD20" s="87"/>
      <c r="RDE20" s="87"/>
      <c r="RDF20" s="87"/>
      <c r="RDG20" s="87"/>
      <c r="RDH20" s="87"/>
      <c r="RDI20" s="87"/>
      <c r="RDJ20" s="87"/>
      <c r="RDK20" s="87"/>
      <c r="RDL20" s="87"/>
      <c r="RDM20" s="87"/>
      <c r="RDN20" s="87"/>
      <c r="RDO20" s="87"/>
      <c r="RDP20" s="87"/>
      <c r="RDQ20" s="87"/>
      <c r="RDR20" s="87"/>
      <c r="RDS20" s="87"/>
      <c r="RDT20" s="87"/>
      <c r="RDU20" s="87"/>
      <c r="RDV20" s="87"/>
      <c r="RDW20" s="87"/>
      <c r="RDX20" s="87"/>
      <c r="RDY20" s="87"/>
      <c r="RDZ20" s="87"/>
      <c r="REA20" s="87"/>
      <c r="REB20" s="87"/>
      <c r="REC20" s="87"/>
      <c r="RED20" s="87"/>
      <c r="REE20" s="87"/>
      <c r="REF20" s="87"/>
      <c r="REG20" s="87"/>
      <c r="REH20" s="87"/>
      <c r="REI20" s="87"/>
      <c r="REJ20" s="87"/>
      <c r="REK20" s="87"/>
      <c r="REL20" s="87"/>
      <c r="REM20" s="87"/>
      <c r="REN20" s="87"/>
      <c r="REO20" s="87"/>
      <c r="REP20" s="87"/>
      <c r="REQ20" s="87"/>
      <c r="RER20" s="87"/>
      <c r="RES20" s="87"/>
      <c r="RET20" s="87"/>
      <c r="REU20" s="87"/>
      <c r="REV20" s="87"/>
      <c r="REW20" s="87"/>
      <c r="REX20" s="87"/>
      <c r="REY20" s="87"/>
      <c r="REZ20" s="87"/>
      <c r="RFA20" s="87"/>
      <c r="RFB20" s="87"/>
      <c r="RFC20" s="87"/>
      <c r="RFD20" s="87"/>
      <c r="RFE20" s="87"/>
      <c r="RFF20" s="87"/>
      <c r="RFG20" s="87"/>
      <c r="RFH20" s="87"/>
      <c r="RFI20" s="87"/>
      <c r="RFJ20" s="87"/>
      <c r="RFK20" s="87"/>
      <c r="RFL20" s="87"/>
      <c r="RFM20" s="87"/>
      <c r="RFN20" s="87"/>
      <c r="RFO20" s="87"/>
      <c r="RFP20" s="87"/>
      <c r="RFQ20" s="87"/>
      <c r="RFR20" s="87"/>
      <c r="RFS20" s="87"/>
      <c r="RFT20" s="87"/>
      <c r="RFU20" s="87"/>
      <c r="RFV20" s="87"/>
      <c r="RFW20" s="87"/>
      <c r="RFX20" s="87"/>
      <c r="RFY20" s="87"/>
      <c r="RFZ20" s="87"/>
      <c r="RGA20" s="87"/>
      <c r="RGB20" s="87"/>
      <c r="RGC20" s="87"/>
      <c r="RGD20" s="87"/>
      <c r="RGE20" s="87"/>
      <c r="RGF20" s="87"/>
      <c r="RGG20" s="87"/>
      <c r="RGH20" s="87"/>
      <c r="RGI20" s="87"/>
      <c r="RGJ20" s="87"/>
      <c r="RGK20" s="87"/>
      <c r="RGL20" s="87"/>
      <c r="RGM20" s="87"/>
      <c r="RGN20" s="87"/>
      <c r="RGO20" s="87"/>
      <c r="RGP20" s="87"/>
      <c r="RGQ20" s="87"/>
      <c r="RGR20" s="87"/>
      <c r="RGS20" s="87"/>
      <c r="RGT20" s="87"/>
      <c r="RGU20" s="87"/>
      <c r="RGV20" s="87"/>
      <c r="RGW20" s="87"/>
      <c r="RGX20" s="87"/>
      <c r="RGY20" s="87"/>
      <c r="RGZ20" s="87"/>
      <c r="RHA20" s="87"/>
      <c r="RHB20" s="87"/>
      <c r="RHC20" s="87"/>
      <c r="RHD20" s="87"/>
      <c r="RHE20" s="87"/>
      <c r="RHF20" s="87"/>
      <c r="RHG20" s="87"/>
      <c r="RHH20" s="87"/>
      <c r="RHI20" s="87"/>
      <c r="RHJ20" s="87"/>
      <c r="RHK20" s="87"/>
      <c r="RHL20" s="87"/>
      <c r="RHM20" s="87"/>
      <c r="RHN20" s="87"/>
      <c r="RHO20" s="87"/>
      <c r="RHP20" s="87"/>
      <c r="RHQ20" s="87"/>
      <c r="RHR20" s="87"/>
      <c r="RHS20" s="87"/>
      <c r="RHT20" s="87"/>
      <c r="RHU20" s="87"/>
      <c r="RHV20" s="87"/>
      <c r="RHW20" s="87"/>
      <c r="RHX20" s="87"/>
      <c r="RHY20" s="87"/>
      <c r="RHZ20" s="87"/>
      <c r="RIA20" s="87"/>
      <c r="RIB20" s="87"/>
      <c r="RIC20" s="87"/>
      <c r="RID20" s="87"/>
      <c r="RIE20" s="87"/>
      <c r="RIF20" s="87"/>
      <c r="RIG20" s="87"/>
      <c r="RIH20" s="87"/>
      <c r="RII20" s="87"/>
      <c r="RIJ20" s="87"/>
      <c r="RIK20" s="87"/>
      <c r="RIL20" s="87"/>
      <c r="RIM20" s="87"/>
      <c r="RIN20" s="87"/>
      <c r="RIO20" s="87"/>
      <c r="RIP20" s="87"/>
      <c r="RIQ20" s="87"/>
      <c r="RIR20" s="87"/>
      <c r="RIS20" s="87"/>
      <c r="RIT20" s="87"/>
      <c r="RIU20" s="87"/>
      <c r="RIV20" s="87"/>
      <c r="RIW20" s="87"/>
      <c r="RIX20" s="87"/>
      <c r="RIY20" s="87"/>
      <c r="RIZ20" s="87"/>
      <c r="RJA20" s="87"/>
      <c r="RJB20" s="87"/>
      <c r="RJC20" s="87"/>
      <c r="RJD20" s="87"/>
      <c r="RJE20" s="87"/>
      <c r="RJF20" s="87"/>
      <c r="RJG20" s="87"/>
      <c r="RJH20" s="87"/>
      <c r="RJI20" s="87"/>
      <c r="RJJ20" s="87"/>
      <c r="RJK20" s="87"/>
      <c r="RJL20" s="87"/>
      <c r="RJM20" s="87"/>
      <c r="RJN20" s="87"/>
      <c r="RJO20" s="87"/>
      <c r="RJP20" s="87"/>
      <c r="RJQ20" s="87"/>
      <c r="RJR20" s="87"/>
      <c r="RJS20" s="87"/>
      <c r="RJT20" s="87"/>
      <c r="RJU20" s="87"/>
      <c r="RJV20" s="87"/>
      <c r="RJW20" s="87"/>
      <c r="RJX20" s="87"/>
      <c r="RJY20" s="87"/>
      <c r="RJZ20" s="87"/>
      <c r="RKA20" s="87"/>
      <c r="RKB20" s="87"/>
      <c r="RKC20" s="87"/>
      <c r="RKD20" s="87"/>
      <c r="RKE20" s="87"/>
      <c r="RKF20" s="87"/>
      <c r="RKG20" s="87"/>
      <c r="RKH20" s="87"/>
      <c r="RKI20" s="87"/>
      <c r="RKJ20" s="87"/>
      <c r="RKK20" s="87"/>
      <c r="RKL20" s="87"/>
      <c r="RKM20" s="87"/>
      <c r="RKN20" s="87"/>
      <c r="RKO20" s="87"/>
      <c r="RKP20" s="87"/>
      <c r="RKQ20" s="87"/>
      <c r="RKR20" s="87"/>
      <c r="RKS20" s="87"/>
      <c r="RKT20" s="87"/>
      <c r="RKU20" s="87"/>
      <c r="RKV20" s="87"/>
      <c r="RKW20" s="87"/>
      <c r="RKX20" s="87"/>
      <c r="RKY20" s="87"/>
      <c r="RKZ20" s="87"/>
      <c r="RLA20" s="87"/>
      <c r="RLB20" s="87"/>
      <c r="RLC20" s="87"/>
      <c r="RLD20" s="87"/>
      <c r="RLE20" s="87"/>
      <c r="RLF20" s="87"/>
      <c r="RLG20" s="87"/>
      <c r="RLH20" s="87"/>
      <c r="RLI20" s="87"/>
      <c r="RLJ20" s="87"/>
      <c r="RLK20" s="87"/>
      <c r="RLL20" s="87"/>
      <c r="RLM20" s="87"/>
      <c r="RLN20" s="87"/>
      <c r="RLO20" s="87"/>
      <c r="RLP20" s="87"/>
      <c r="RLQ20" s="87"/>
      <c r="RLR20" s="87"/>
      <c r="RLS20" s="87"/>
      <c r="RLT20" s="87"/>
      <c r="RLU20" s="87"/>
      <c r="RLV20" s="87"/>
      <c r="RLW20" s="87"/>
      <c r="RLX20" s="87"/>
      <c r="RLY20" s="87"/>
      <c r="RLZ20" s="87"/>
      <c r="RMA20" s="87"/>
      <c r="RMB20" s="87"/>
      <c r="RMC20" s="87"/>
      <c r="RMD20" s="87"/>
      <c r="RME20" s="87"/>
      <c r="RMF20" s="87"/>
      <c r="RMG20" s="87"/>
      <c r="RMH20" s="87"/>
      <c r="RMI20" s="87"/>
      <c r="RMJ20" s="87"/>
      <c r="RMK20" s="87"/>
      <c r="RML20" s="87"/>
      <c r="RMM20" s="87"/>
      <c r="RMN20" s="87"/>
      <c r="RMO20" s="87"/>
      <c r="RMP20" s="87"/>
      <c r="RMQ20" s="87"/>
      <c r="RMR20" s="87"/>
      <c r="RMS20" s="87"/>
      <c r="RMT20" s="87"/>
      <c r="RMU20" s="87"/>
      <c r="RMV20" s="87"/>
      <c r="RMW20" s="87"/>
      <c r="RMX20" s="87"/>
      <c r="RMY20" s="87"/>
      <c r="RMZ20" s="87"/>
      <c r="RNA20" s="87"/>
      <c r="RNB20" s="87"/>
      <c r="RNC20" s="87"/>
      <c r="RND20" s="87"/>
      <c r="RNE20" s="87"/>
      <c r="RNF20" s="87"/>
      <c r="RNG20" s="87"/>
      <c r="RNH20" s="87"/>
      <c r="RNI20" s="87"/>
      <c r="RNJ20" s="87"/>
      <c r="RNK20" s="87"/>
      <c r="RNL20" s="87"/>
      <c r="RNM20" s="87"/>
      <c r="RNN20" s="87"/>
      <c r="RNO20" s="87"/>
      <c r="RNP20" s="87"/>
      <c r="RNQ20" s="87"/>
      <c r="RNR20" s="87"/>
      <c r="RNS20" s="87"/>
      <c r="RNT20" s="87"/>
      <c r="RNU20" s="87"/>
      <c r="RNV20" s="87"/>
      <c r="RNW20" s="87"/>
      <c r="RNX20" s="87"/>
      <c r="RNY20" s="87"/>
      <c r="RNZ20" s="87"/>
      <c r="ROA20" s="87"/>
      <c r="ROB20" s="87"/>
      <c r="ROC20" s="87"/>
      <c r="ROD20" s="87"/>
      <c r="ROE20" s="87"/>
      <c r="ROF20" s="87"/>
      <c r="ROG20" s="87"/>
      <c r="ROH20" s="87"/>
      <c r="ROI20" s="87"/>
      <c r="ROJ20" s="87"/>
      <c r="ROK20" s="87"/>
      <c r="ROL20" s="87"/>
      <c r="ROM20" s="87"/>
      <c r="RON20" s="87"/>
      <c r="ROO20" s="87"/>
      <c r="ROP20" s="87"/>
      <c r="ROQ20" s="87"/>
      <c r="ROR20" s="87"/>
      <c r="ROS20" s="87"/>
      <c r="ROT20" s="87"/>
      <c r="ROU20" s="87"/>
      <c r="ROV20" s="87"/>
      <c r="ROW20" s="87"/>
      <c r="ROX20" s="87"/>
      <c r="ROY20" s="87"/>
      <c r="ROZ20" s="87"/>
      <c r="RPA20" s="87"/>
      <c r="RPB20" s="87"/>
      <c r="RPC20" s="87"/>
      <c r="RPD20" s="87"/>
      <c r="RPE20" s="87"/>
      <c r="RPF20" s="87"/>
      <c r="RPG20" s="87"/>
      <c r="RPH20" s="87"/>
      <c r="RPI20" s="87"/>
      <c r="RPJ20" s="87"/>
      <c r="RPK20" s="87"/>
      <c r="RPL20" s="87"/>
      <c r="RPM20" s="87"/>
      <c r="RPN20" s="87"/>
      <c r="RPO20" s="87"/>
      <c r="RPP20" s="87"/>
      <c r="RPQ20" s="87"/>
      <c r="RPR20" s="87"/>
      <c r="RPS20" s="87"/>
      <c r="RPT20" s="87"/>
      <c r="RPU20" s="87"/>
      <c r="RPV20" s="87"/>
      <c r="RPW20" s="87"/>
      <c r="RPX20" s="87"/>
      <c r="RPY20" s="87"/>
      <c r="RPZ20" s="87"/>
      <c r="RQA20" s="87"/>
      <c r="RQB20" s="87"/>
      <c r="RQC20" s="87"/>
      <c r="RQD20" s="87"/>
      <c r="RQE20" s="87"/>
      <c r="RQF20" s="87"/>
      <c r="RQG20" s="87"/>
      <c r="RQH20" s="87"/>
      <c r="RQI20" s="87"/>
      <c r="RQJ20" s="87"/>
      <c r="RQK20" s="87"/>
      <c r="RQL20" s="87"/>
      <c r="RQM20" s="87"/>
      <c r="RQN20" s="87"/>
      <c r="RQO20" s="87"/>
      <c r="RQP20" s="87"/>
      <c r="RQQ20" s="87"/>
      <c r="RQR20" s="87"/>
      <c r="RQS20" s="87"/>
      <c r="RQT20" s="87"/>
      <c r="RQU20" s="87"/>
      <c r="RQV20" s="87"/>
      <c r="RQW20" s="87"/>
      <c r="RQX20" s="87"/>
      <c r="RQY20" s="87"/>
      <c r="RQZ20" s="87"/>
      <c r="RRA20" s="87"/>
      <c r="RRB20" s="87"/>
      <c r="RRC20" s="87"/>
      <c r="RRD20" s="87"/>
      <c r="RRE20" s="87"/>
      <c r="RRF20" s="87"/>
      <c r="RRG20" s="87"/>
      <c r="RRH20" s="87"/>
      <c r="RRI20" s="87"/>
      <c r="RRJ20" s="87"/>
      <c r="RRK20" s="87"/>
      <c r="RRL20" s="87"/>
      <c r="RRM20" s="87"/>
      <c r="RRN20" s="87"/>
      <c r="RRO20" s="87"/>
      <c r="RRP20" s="87"/>
      <c r="RRQ20" s="87"/>
      <c r="RRR20" s="87"/>
      <c r="RRS20" s="87"/>
      <c r="RRT20" s="87"/>
      <c r="RRU20" s="87"/>
      <c r="RRV20" s="87"/>
      <c r="RRW20" s="87"/>
      <c r="RRX20" s="87"/>
      <c r="RRY20" s="87"/>
      <c r="RRZ20" s="87"/>
      <c r="RSA20" s="87"/>
      <c r="RSB20" s="87"/>
      <c r="RSC20" s="87"/>
      <c r="RSD20" s="87"/>
      <c r="RSE20" s="87"/>
      <c r="RSF20" s="87"/>
      <c r="RSG20" s="87"/>
      <c r="RSH20" s="87"/>
      <c r="RSI20" s="87"/>
      <c r="RSJ20" s="87"/>
      <c r="RSK20" s="87"/>
      <c r="RSL20" s="87"/>
      <c r="RSM20" s="87"/>
      <c r="RSN20" s="87"/>
      <c r="RSO20" s="87"/>
      <c r="RSP20" s="87"/>
      <c r="RSQ20" s="87"/>
      <c r="RSR20" s="87"/>
      <c r="RSS20" s="87"/>
      <c r="RST20" s="87"/>
      <c r="RSU20" s="87"/>
      <c r="RSV20" s="87"/>
      <c r="RSW20" s="87"/>
      <c r="RSX20" s="87"/>
      <c r="RSY20" s="87"/>
      <c r="RSZ20" s="87"/>
      <c r="RTA20" s="87"/>
      <c r="RTB20" s="87"/>
      <c r="RTC20" s="87"/>
      <c r="RTD20" s="87"/>
      <c r="RTE20" s="87"/>
      <c r="RTF20" s="87"/>
      <c r="RTG20" s="87"/>
      <c r="RTH20" s="87"/>
      <c r="RTI20" s="87"/>
      <c r="RTJ20" s="87"/>
      <c r="RTK20" s="87"/>
      <c r="RTL20" s="87"/>
      <c r="RTM20" s="87"/>
      <c r="RTN20" s="87"/>
      <c r="RTO20" s="87"/>
      <c r="RTP20" s="87"/>
      <c r="RTQ20" s="87"/>
      <c r="RTR20" s="87"/>
      <c r="RTS20" s="87"/>
      <c r="RTT20" s="87"/>
      <c r="RTU20" s="87"/>
      <c r="RTV20" s="87"/>
      <c r="RTW20" s="87"/>
      <c r="RTX20" s="87"/>
      <c r="RTY20" s="87"/>
      <c r="RTZ20" s="87"/>
      <c r="RUA20" s="87"/>
      <c r="RUB20" s="87"/>
      <c r="RUC20" s="87"/>
      <c r="RUD20" s="87"/>
      <c r="RUE20" s="87"/>
      <c r="RUF20" s="87"/>
      <c r="RUG20" s="87"/>
      <c r="RUH20" s="87"/>
      <c r="RUI20" s="87"/>
      <c r="RUJ20" s="87"/>
      <c r="RUK20" s="87"/>
      <c r="RUL20" s="87"/>
      <c r="RUM20" s="87"/>
      <c r="RUN20" s="87"/>
      <c r="RUO20" s="87"/>
      <c r="RUP20" s="87"/>
      <c r="RUQ20" s="87"/>
      <c r="RUR20" s="87"/>
      <c r="RUS20" s="87"/>
      <c r="RUT20" s="87"/>
      <c r="RUU20" s="87"/>
      <c r="RUV20" s="87"/>
      <c r="RUW20" s="87"/>
      <c r="RUX20" s="87"/>
      <c r="RUY20" s="87"/>
      <c r="RUZ20" s="87"/>
      <c r="RVA20" s="87"/>
      <c r="RVB20" s="87"/>
      <c r="RVC20" s="87"/>
      <c r="RVD20" s="87"/>
      <c r="RVE20" s="87"/>
      <c r="RVF20" s="87"/>
      <c r="RVG20" s="87"/>
      <c r="RVH20" s="87"/>
      <c r="RVI20" s="87"/>
      <c r="RVJ20" s="87"/>
      <c r="RVK20" s="87"/>
      <c r="RVL20" s="87"/>
      <c r="RVM20" s="87"/>
      <c r="RVN20" s="87"/>
      <c r="RVO20" s="87"/>
      <c r="RVP20" s="87"/>
      <c r="RVQ20" s="87"/>
      <c r="RVR20" s="87"/>
      <c r="RVS20" s="87"/>
      <c r="RVT20" s="87"/>
      <c r="RVU20" s="87"/>
      <c r="RVV20" s="87"/>
      <c r="RVW20" s="87"/>
      <c r="RVX20" s="87"/>
      <c r="RVY20" s="87"/>
      <c r="RVZ20" s="87"/>
      <c r="RWA20" s="87"/>
      <c r="RWB20" s="87"/>
      <c r="RWC20" s="87"/>
      <c r="RWD20" s="87"/>
      <c r="RWE20" s="87"/>
      <c r="RWF20" s="87"/>
      <c r="RWG20" s="87"/>
      <c r="RWH20" s="87"/>
      <c r="RWI20" s="87"/>
      <c r="RWJ20" s="87"/>
      <c r="RWK20" s="87"/>
      <c r="RWL20" s="87"/>
      <c r="RWM20" s="87"/>
      <c r="RWN20" s="87"/>
      <c r="RWO20" s="87"/>
      <c r="RWP20" s="87"/>
      <c r="RWQ20" s="87"/>
      <c r="RWR20" s="87"/>
      <c r="RWS20" s="87"/>
      <c r="RWT20" s="87"/>
      <c r="RWU20" s="87"/>
      <c r="RWV20" s="87"/>
      <c r="RWW20" s="87"/>
      <c r="RWX20" s="87"/>
      <c r="RWY20" s="87"/>
      <c r="RWZ20" s="87"/>
      <c r="RXA20" s="87"/>
      <c r="RXB20" s="87"/>
      <c r="RXC20" s="87"/>
      <c r="RXD20" s="87"/>
      <c r="RXE20" s="87"/>
      <c r="RXF20" s="87"/>
      <c r="RXG20" s="87"/>
      <c r="RXH20" s="87"/>
      <c r="RXI20" s="87"/>
      <c r="RXJ20" s="87"/>
      <c r="RXK20" s="87"/>
      <c r="RXL20" s="87"/>
      <c r="RXM20" s="87"/>
      <c r="RXN20" s="87"/>
      <c r="RXO20" s="87"/>
      <c r="RXP20" s="87"/>
      <c r="RXQ20" s="87"/>
      <c r="RXR20" s="87"/>
      <c r="RXS20" s="87"/>
      <c r="RXT20" s="87"/>
      <c r="RXU20" s="87"/>
      <c r="RXV20" s="87"/>
      <c r="RXW20" s="87"/>
      <c r="RXX20" s="87"/>
      <c r="RXY20" s="87"/>
      <c r="RXZ20" s="87"/>
      <c r="RYA20" s="87"/>
      <c r="RYB20" s="87"/>
      <c r="RYC20" s="87"/>
      <c r="RYD20" s="87"/>
      <c r="RYE20" s="87"/>
      <c r="RYF20" s="87"/>
      <c r="RYG20" s="87"/>
      <c r="RYH20" s="87"/>
      <c r="RYI20" s="87"/>
      <c r="RYJ20" s="87"/>
      <c r="RYK20" s="87"/>
      <c r="RYL20" s="87"/>
      <c r="RYM20" s="87"/>
      <c r="RYN20" s="87"/>
      <c r="RYO20" s="87"/>
      <c r="RYP20" s="87"/>
      <c r="RYQ20" s="87"/>
      <c r="RYR20" s="87"/>
      <c r="RYS20" s="87"/>
      <c r="RYT20" s="87"/>
      <c r="RYU20" s="87"/>
      <c r="RYV20" s="87"/>
      <c r="RYW20" s="87"/>
      <c r="RYX20" s="87"/>
      <c r="RYY20" s="87"/>
      <c r="RYZ20" s="87"/>
      <c r="RZA20" s="87"/>
      <c r="RZB20" s="87"/>
      <c r="RZC20" s="87"/>
      <c r="RZD20" s="87"/>
      <c r="RZE20" s="87"/>
      <c r="RZF20" s="87"/>
      <c r="RZG20" s="87"/>
      <c r="RZH20" s="87"/>
      <c r="RZI20" s="87"/>
      <c r="RZJ20" s="87"/>
      <c r="RZK20" s="87"/>
      <c r="RZL20" s="87"/>
      <c r="RZM20" s="87"/>
      <c r="RZN20" s="87"/>
      <c r="RZO20" s="87"/>
      <c r="RZP20" s="87"/>
      <c r="RZQ20" s="87"/>
      <c r="RZR20" s="87"/>
      <c r="RZS20" s="87"/>
      <c r="RZT20" s="87"/>
      <c r="RZU20" s="87"/>
      <c r="RZV20" s="87"/>
      <c r="RZW20" s="87"/>
      <c r="RZX20" s="87"/>
      <c r="RZY20" s="87"/>
      <c r="RZZ20" s="87"/>
      <c r="SAA20" s="87"/>
      <c r="SAB20" s="87"/>
      <c r="SAC20" s="87"/>
      <c r="SAD20" s="87"/>
      <c r="SAE20" s="87"/>
      <c r="SAF20" s="87"/>
      <c r="SAG20" s="87"/>
      <c r="SAH20" s="87"/>
      <c r="SAI20" s="87"/>
      <c r="SAJ20" s="87"/>
      <c r="SAK20" s="87"/>
      <c r="SAL20" s="87"/>
      <c r="SAM20" s="87"/>
      <c r="SAN20" s="87"/>
      <c r="SAO20" s="87"/>
      <c r="SAP20" s="87"/>
      <c r="SAQ20" s="87"/>
      <c r="SAR20" s="87"/>
      <c r="SAS20" s="87"/>
      <c r="SAT20" s="87"/>
      <c r="SAU20" s="87"/>
      <c r="SAV20" s="87"/>
      <c r="SAW20" s="87"/>
      <c r="SAX20" s="87"/>
      <c r="SAY20" s="87"/>
      <c r="SAZ20" s="87"/>
      <c r="SBA20" s="87"/>
      <c r="SBB20" s="87"/>
      <c r="SBC20" s="87"/>
      <c r="SBD20" s="87"/>
      <c r="SBE20" s="87"/>
      <c r="SBF20" s="87"/>
      <c r="SBG20" s="87"/>
      <c r="SBH20" s="87"/>
      <c r="SBI20" s="87"/>
      <c r="SBJ20" s="87"/>
      <c r="SBK20" s="87"/>
      <c r="SBL20" s="87"/>
      <c r="SBM20" s="87"/>
      <c r="SBN20" s="87"/>
      <c r="SBO20" s="87"/>
      <c r="SBP20" s="87"/>
      <c r="SBQ20" s="87"/>
      <c r="SBR20" s="87"/>
      <c r="SBS20" s="87"/>
      <c r="SBT20" s="87"/>
      <c r="SBU20" s="87"/>
      <c r="SBV20" s="87"/>
      <c r="SBW20" s="87"/>
      <c r="SBX20" s="87"/>
      <c r="SBY20" s="87"/>
      <c r="SBZ20" s="87"/>
      <c r="SCA20" s="87"/>
      <c r="SCB20" s="87"/>
      <c r="SCC20" s="87"/>
      <c r="SCD20" s="87"/>
      <c r="SCE20" s="87"/>
      <c r="SCF20" s="87"/>
      <c r="SCG20" s="87"/>
      <c r="SCH20" s="87"/>
      <c r="SCI20" s="87"/>
      <c r="SCJ20" s="87"/>
      <c r="SCK20" s="87"/>
      <c r="SCL20" s="87"/>
      <c r="SCM20" s="87"/>
      <c r="SCN20" s="87"/>
      <c r="SCO20" s="87"/>
      <c r="SCP20" s="87"/>
      <c r="SCQ20" s="87"/>
      <c r="SCR20" s="87"/>
      <c r="SCS20" s="87"/>
      <c r="SCT20" s="87"/>
      <c r="SCU20" s="87"/>
      <c r="SCV20" s="87"/>
      <c r="SCW20" s="87"/>
      <c r="SCX20" s="87"/>
      <c r="SCY20" s="87"/>
      <c r="SCZ20" s="87"/>
      <c r="SDA20" s="87"/>
      <c r="SDB20" s="87"/>
      <c r="SDC20" s="87"/>
      <c r="SDD20" s="87"/>
      <c r="SDE20" s="87"/>
      <c r="SDF20" s="87"/>
      <c r="SDG20" s="87"/>
      <c r="SDH20" s="87"/>
      <c r="SDI20" s="87"/>
      <c r="SDJ20" s="87"/>
      <c r="SDK20" s="87"/>
      <c r="SDL20" s="87"/>
      <c r="SDM20" s="87"/>
      <c r="SDN20" s="87"/>
      <c r="SDO20" s="87"/>
      <c r="SDP20" s="87"/>
      <c r="SDQ20" s="87"/>
      <c r="SDR20" s="87"/>
      <c r="SDS20" s="87"/>
      <c r="SDT20" s="87"/>
      <c r="SDU20" s="87"/>
      <c r="SDV20" s="87"/>
      <c r="SDW20" s="87"/>
      <c r="SDX20" s="87"/>
      <c r="SDY20" s="87"/>
      <c r="SDZ20" s="87"/>
      <c r="SEA20" s="87"/>
      <c r="SEB20" s="87"/>
      <c r="SEC20" s="87"/>
      <c r="SED20" s="87"/>
      <c r="SEE20" s="87"/>
      <c r="SEF20" s="87"/>
      <c r="SEG20" s="87"/>
      <c r="SEH20" s="87"/>
      <c r="SEI20" s="87"/>
      <c r="SEJ20" s="87"/>
      <c r="SEK20" s="87"/>
      <c r="SEL20" s="87"/>
      <c r="SEM20" s="87"/>
      <c r="SEN20" s="87"/>
      <c r="SEO20" s="87"/>
      <c r="SEP20" s="87"/>
      <c r="SEQ20" s="87"/>
      <c r="SER20" s="87"/>
      <c r="SES20" s="87"/>
      <c r="SET20" s="87"/>
      <c r="SEU20" s="87"/>
      <c r="SEV20" s="87"/>
      <c r="SEW20" s="87"/>
      <c r="SEX20" s="87"/>
      <c r="SEY20" s="87"/>
      <c r="SEZ20" s="87"/>
      <c r="SFA20" s="87"/>
      <c r="SFB20" s="87"/>
      <c r="SFC20" s="87"/>
      <c r="SFD20" s="87"/>
      <c r="SFE20" s="87"/>
      <c r="SFF20" s="87"/>
      <c r="SFG20" s="87"/>
      <c r="SFH20" s="87"/>
      <c r="SFI20" s="87"/>
      <c r="SFJ20" s="87"/>
      <c r="SFK20" s="87"/>
      <c r="SFL20" s="87"/>
      <c r="SFM20" s="87"/>
      <c r="SFN20" s="87"/>
      <c r="SFO20" s="87"/>
      <c r="SFP20" s="87"/>
      <c r="SFQ20" s="87"/>
      <c r="SFR20" s="87"/>
      <c r="SFS20" s="87"/>
      <c r="SFT20" s="87"/>
      <c r="SFU20" s="87"/>
      <c r="SFV20" s="87"/>
      <c r="SFW20" s="87"/>
      <c r="SFX20" s="87"/>
      <c r="SFY20" s="87"/>
      <c r="SFZ20" s="87"/>
      <c r="SGA20" s="87"/>
      <c r="SGB20" s="87"/>
      <c r="SGC20" s="87"/>
      <c r="SGD20" s="87"/>
      <c r="SGE20" s="87"/>
      <c r="SGF20" s="87"/>
      <c r="SGG20" s="87"/>
      <c r="SGH20" s="87"/>
      <c r="SGI20" s="87"/>
      <c r="SGJ20" s="87"/>
      <c r="SGK20" s="87"/>
      <c r="SGL20" s="87"/>
      <c r="SGM20" s="87"/>
      <c r="SGN20" s="87"/>
      <c r="SGO20" s="87"/>
      <c r="SGP20" s="87"/>
      <c r="SGQ20" s="87"/>
      <c r="SGR20" s="87"/>
      <c r="SGS20" s="87"/>
      <c r="SGT20" s="87"/>
      <c r="SGU20" s="87"/>
      <c r="SGV20" s="87"/>
      <c r="SGW20" s="87"/>
      <c r="SGX20" s="87"/>
      <c r="SGY20" s="87"/>
      <c r="SGZ20" s="87"/>
      <c r="SHA20" s="87"/>
      <c r="SHB20" s="87"/>
      <c r="SHC20" s="87"/>
      <c r="SHD20" s="87"/>
      <c r="SHE20" s="87"/>
      <c r="SHF20" s="87"/>
      <c r="SHG20" s="87"/>
      <c r="SHH20" s="87"/>
      <c r="SHI20" s="87"/>
      <c r="SHJ20" s="87"/>
      <c r="SHK20" s="87"/>
      <c r="SHL20" s="87"/>
      <c r="SHM20" s="87"/>
      <c r="SHN20" s="87"/>
      <c r="SHO20" s="87"/>
      <c r="SHP20" s="87"/>
      <c r="SHQ20" s="87"/>
      <c r="SHR20" s="87"/>
      <c r="SHS20" s="87"/>
      <c r="SHT20" s="87"/>
      <c r="SHU20" s="87"/>
      <c r="SHV20" s="87"/>
      <c r="SHW20" s="87"/>
      <c r="SHX20" s="87"/>
      <c r="SHY20" s="87"/>
      <c r="SHZ20" s="87"/>
      <c r="SIA20" s="87"/>
      <c r="SIB20" s="87"/>
      <c r="SIC20" s="87"/>
      <c r="SID20" s="87"/>
      <c r="SIE20" s="87"/>
      <c r="SIF20" s="87"/>
      <c r="SIG20" s="87"/>
      <c r="SIH20" s="87"/>
      <c r="SII20" s="87"/>
      <c r="SIJ20" s="87"/>
      <c r="SIK20" s="87"/>
      <c r="SIL20" s="87"/>
      <c r="SIM20" s="87"/>
      <c r="SIN20" s="87"/>
      <c r="SIO20" s="87"/>
      <c r="SIP20" s="87"/>
      <c r="SIQ20" s="87"/>
      <c r="SIR20" s="87"/>
      <c r="SIS20" s="87"/>
      <c r="SIT20" s="87"/>
      <c r="SIU20" s="87"/>
      <c r="SIV20" s="87"/>
      <c r="SIW20" s="87"/>
      <c r="SIX20" s="87"/>
      <c r="SIY20" s="87"/>
      <c r="SIZ20" s="87"/>
      <c r="SJA20" s="87"/>
      <c r="SJB20" s="87"/>
      <c r="SJC20" s="87"/>
      <c r="SJD20" s="87"/>
      <c r="SJE20" s="87"/>
      <c r="SJF20" s="87"/>
      <c r="SJG20" s="87"/>
      <c r="SJH20" s="87"/>
      <c r="SJI20" s="87"/>
      <c r="SJJ20" s="87"/>
      <c r="SJK20" s="87"/>
      <c r="SJL20" s="87"/>
      <c r="SJM20" s="87"/>
      <c r="SJN20" s="87"/>
      <c r="SJO20" s="87"/>
      <c r="SJP20" s="87"/>
      <c r="SJQ20" s="87"/>
      <c r="SJR20" s="87"/>
      <c r="SJS20" s="87"/>
      <c r="SJT20" s="87"/>
      <c r="SJU20" s="87"/>
      <c r="SJV20" s="87"/>
      <c r="SJW20" s="87"/>
      <c r="SJX20" s="87"/>
      <c r="SJY20" s="87"/>
      <c r="SJZ20" s="87"/>
      <c r="SKA20" s="87"/>
      <c r="SKB20" s="87"/>
      <c r="SKC20" s="87"/>
      <c r="SKD20" s="87"/>
      <c r="SKE20" s="87"/>
      <c r="SKF20" s="87"/>
      <c r="SKG20" s="87"/>
      <c r="SKH20" s="87"/>
      <c r="SKI20" s="87"/>
      <c r="SKJ20" s="87"/>
      <c r="SKK20" s="87"/>
      <c r="SKL20" s="87"/>
      <c r="SKM20" s="87"/>
      <c r="SKN20" s="87"/>
      <c r="SKO20" s="87"/>
      <c r="SKP20" s="87"/>
      <c r="SKQ20" s="87"/>
      <c r="SKR20" s="87"/>
      <c r="SKS20" s="87"/>
      <c r="SKT20" s="87"/>
      <c r="SKU20" s="87"/>
      <c r="SKV20" s="87"/>
      <c r="SKW20" s="87"/>
      <c r="SKX20" s="87"/>
      <c r="SKY20" s="87"/>
      <c r="SKZ20" s="87"/>
      <c r="SLA20" s="87"/>
      <c r="SLB20" s="87"/>
      <c r="SLC20" s="87"/>
      <c r="SLD20" s="87"/>
      <c r="SLE20" s="87"/>
      <c r="SLF20" s="87"/>
      <c r="SLG20" s="87"/>
      <c r="SLH20" s="87"/>
      <c r="SLI20" s="87"/>
      <c r="SLJ20" s="87"/>
      <c r="SLK20" s="87"/>
      <c r="SLL20" s="87"/>
      <c r="SLM20" s="87"/>
      <c r="SLN20" s="87"/>
      <c r="SLO20" s="87"/>
      <c r="SLP20" s="87"/>
      <c r="SLQ20" s="87"/>
      <c r="SLR20" s="87"/>
      <c r="SLS20" s="87"/>
      <c r="SLT20" s="87"/>
      <c r="SLU20" s="87"/>
      <c r="SLV20" s="87"/>
      <c r="SLW20" s="87"/>
      <c r="SLX20" s="87"/>
      <c r="SLY20" s="87"/>
      <c r="SLZ20" s="87"/>
      <c r="SMA20" s="87"/>
      <c r="SMB20" s="87"/>
      <c r="SMC20" s="87"/>
      <c r="SMD20" s="87"/>
      <c r="SME20" s="87"/>
      <c r="SMF20" s="87"/>
      <c r="SMG20" s="87"/>
      <c r="SMH20" s="87"/>
      <c r="SMI20" s="87"/>
      <c r="SMJ20" s="87"/>
      <c r="SMK20" s="87"/>
      <c r="SML20" s="87"/>
      <c r="SMM20" s="87"/>
      <c r="SMN20" s="87"/>
      <c r="SMO20" s="87"/>
      <c r="SMP20" s="87"/>
      <c r="SMQ20" s="87"/>
      <c r="SMR20" s="87"/>
      <c r="SMS20" s="87"/>
      <c r="SMT20" s="87"/>
      <c r="SMU20" s="87"/>
      <c r="SMV20" s="87"/>
      <c r="SMW20" s="87"/>
      <c r="SMX20" s="87"/>
      <c r="SMY20" s="87"/>
      <c r="SMZ20" s="87"/>
      <c r="SNA20" s="87"/>
      <c r="SNB20" s="87"/>
      <c r="SNC20" s="87"/>
      <c r="SND20" s="87"/>
      <c r="SNE20" s="87"/>
      <c r="SNF20" s="87"/>
      <c r="SNG20" s="87"/>
      <c r="SNH20" s="87"/>
      <c r="SNI20" s="87"/>
      <c r="SNJ20" s="87"/>
      <c r="SNK20" s="87"/>
      <c r="SNL20" s="87"/>
      <c r="SNM20" s="87"/>
      <c r="SNN20" s="87"/>
      <c r="SNO20" s="87"/>
      <c r="SNP20" s="87"/>
      <c r="SNQ20" s="87"/>
      <c r="SNR20" s="87"/>
      <c r="SNS20" s="87"/>
      <c r="SNT20" s="87"/>
      <c r="SNU20" s="87"/>
      <c r="SNV20" s="87"/>
      <c r="SNW20" s="87"/>
      <c r="SNX20" s="87"/>
      <c r="SNY20" s="87"/>
      <c r="SNZ20" s="87"/>
      <c r="SOA20" s="87"/>
      <c r="SOB20" s="87"/>
      <c r="SOC20" s="87"/>
      <c r="SOD20" s="87"/>
      <c r="SOE20" s="87"/>
      <c r="SOF20" s="87"/>
      <c r="SOG20" s="87"/>
      <c r="SOH20" s="87"/>
      <c r="SOI20" s="87"/>
      <c r="SOJ20" s="87"/>
      <c r="SOK20" s="87"/>
      <c r="SOL20" s="87"/>
      <c r="SOM20" s="87"/>
      <c r="SON20" s="87"/>
      <c r="SOO20" s="87"/>
      <c r="SOP20" s="87"/>
      <c r="SOQ20" s="87"/>
      <c r="SOR20" s="87"/>
      <c r="SOS20" s="87"/>
      <c r="SOT20" s="87"/>
      <c r="SOU20" s="87"/>
      <c r="SOV20" s="87"/>
      <c r="SOW20" s="87"/>
      <c r="SOX20" s="87"/>
      <c r="SOY20" s="87"/>
      <c r="SOZ20" s="87"/>
      <c r="SPA20" s="87"/>
      <c r="SPB20" s="87"/>
      <c r="SPC20" s="87"/>
      <c r="SPD20" s="87"/>
      <c r="SPE20" s="87"/>
      <c r="SPF20" s="87"/>
      <c r="SPG20" s="87"/>
      <c r="SPH20" s="87"/>
      <c r="SPI20" s="87"/>
      <c r="SPJ20" s="87"/>
      <c r="SPK20" s="87"/>
      <c r="SPL20" s="87"/>
      <c r="SPM20" s="87"/>
      <c r="SPN20" s="87"/>
      <c r="SPO20" s="87"/>
      <c r="SPP20" s="87"/>
      <c r="SPQ20" s="87"/>
      <c r="SPR20" s="87"/>
      <c r="SPS20" s="87"/>
      <c r="SPT20" s="87"/>
      <c r="SPU20" s="87"/>
      <c r="SPV20" s="87"/>
      <c r="SPW20" s="87"/>
      <c r="SPX20" s="87"/>
      <c r="SPY20" s="87"/>
      <c r="SPZ20" s="87"/>
      <c r="SQA20" s="87"/>
      <c r="SQB20" s="87"/>
      <c r="SQC20" s="87"/>
      <c r="SQD20" s="87"/>
      <c r="SQE20" s="87"/>
      <c r="SQF20" s="87"/>
      <c r="SQG20" s="87"/>
      <c r="SQH20" s="87"/>
      <c r="SQI20" s="87"/>
      <c r="SQJ20" s="87"/>
      <c r="SQK20" s="87"/>
      <c r="SQL20" s="87"/>
      <c r="SQM20" s="87"/>
      <c r="SQN20" s="87"/>
      <c r="SQO20" s="87"/>
      <c r="SQP20" s="87"/>
      <c r="SQQ20" s="87"/>
      <c r="SQR20" s="87"/>
      <c r="SQS20" s="87"/>
      <c r="SQT20" s="87"/>
      <c r="SQU20" s="87"/>
      <c r="SQV20" s="87"/>
      <c r="SQW20" s="87"/>
      <c r="SQX20" s="87"/>
      <c r="SQY20" s="87"/>
      <c r="SQZ20" s="87"/>
      <c r="SRA20" s="87"/>
      <c r="SRB20" s="87"/>
      <c r="SRC20" s="87"/>
      <c r="SRD20" s="87"/>
      <c r="SRE20" s="87"/>
      <c r="SRF20" s="87"/>
      <c r="SRG20" s="87"/>
      <c r="SRH20" s="87"/>
      <c r="SRI20" s="87"/>
      <c r="SRJ20" s="87"/>
      <c r="SRK20" s="87"/>
      <c r="SRL20" s="87"/>
      <c r="SRM20" s="87"/>
      <c r="SRN20" s="87"/>
      <c r="SRO20" s="87"/>
      <c r="SRP20" s="87"/>
      <c r="SRQ20" s="87"/>
      <c r="SRR20" s="87"/>
      <c r="SRS20" s="87"/>
      <c r="SRT20" s="87"/>
      <c r="SRU20" s="87"/>
      <c r="SRV20" s="87"/>
      <c r="SRW20" s="87"/>
      <c r="SRX20" s="87"/>
      <c r="SRY20" s="87"/>
      <c r="SRZ20" s="87"/>
      <c r="SSA20" s="87"/>
      <c r="SSB20" s="87"/>
      <c r="SSC20" s="87"/>
      <c r="SSD20" s="87"/>
      <c r="SSE20" s="87"/>
      <c r="SSF20" s="87"/>
      <c r="SSG20" s="87"/>
      <c r="SSH20" s="87"/>
      <c r="SSI20" s="87"/>
      <c r="SSJ20" s="87"/>
      <c r="SSK20" s="87"/>
      <c r="SSL20" s="87"/>
      <c r="SSM20" s="87"/>
      <c r="SSN20" s="87"/>
      <c r="SSO20" s="87"/>
      <c r="SSP20" s="87"/>
      <c r="SSQ20" s="87"/>
      <c r="SSR20" s="87"/>
      <c r="SSS20" s="87"/>
      <c r="SST20" s="87"/>
      <c r="SSU20" s="87"/>
      <c r="SSV20" s="87"/>
      <c r="SSW20" s="87"/>
      <c r="SSX20" s="87"/>
      <c r="SSY20" s="87"/>
      <c r="SSZ20" s="87"/>
      <c r="STA20" s="87"/>
      <c r="STB20" s="87"/>
      <c r="STC20" s="87"/>
      <c r="STD20" s="87"/>
      <c r="STE20" s="87"/>
      <c r="STF20" s="87"/>
      <c r="STG20" s="87"/>
      <c r="STH20" s="87"/>
      <c r="STI20" s="87"/>
      <c r="STJ20" s="87"/>
      <c r="STK20" s="87"/>
      <c r="STL20" s="87"/>
      <c r="STM20" s="87"/>
      <c r="STN20" s="87"/>
      <c r="STO20" s="87"/>
      <c r="STP20" s="87"/>
      <c r="STQ20" s="87"/>
      <c r="STR20" s="87"/>
      <c r="STS20" s="87"/>
      <c r="STT20" s="87"/>
      <c r="STU20" s="87"/>
      <c r="STV20" s="87"/>
      <c r="STW20" s="87"/>
      <c r="STX20" s="87"/>
      <c r="STY20" s="87"/>
      <c r="STZ20" s="87"/>
      <c r="SUA20" s="87"/>
      <c r="SUB20" s="87"/>
      <c r="SUC20" s="87"/>
      <c r="SUD20" s="87"/>
      <c r="SUE20" s="87"/>
      <c r="SUF20" s="87"/>
      <c r="SUG20" s="87"/>
      <c r="SUH20" s="87"/>
      <c r="SUI20" s="87"/>
      <c r="SUJ20" s="87"/>
      <c r="SUK20" s="87"/>
      <c r="SUL20" s="87"/>
      <c r="SUM20" s="87"/>
      <c r="SUN20" s="87"/>
      <c r="SUO20" s="87"/>
      <c r="SUP20" s="87"/>
      <c r="SUQ20" s="87"/>
      <c r="SUR20" s="87"/>
      <c r="SUS20" s="87"/>
      <c r="SUT20" s="87"/>
      <c r="SUU20" s="87"/>
      <c r="SUV20" s="87"/>
      <c r="SUW20" s="87"/>
      <c r="SUX20" s="87"/>
      <c r="SUY20" s="87"/>
      <c r="SUZ20" s="87"/>
      <c r="SVA20" s="87"/>
      <c r="SVB20" s="87"/>
      <c r="SVC20" s="87"/>
      <c r="SVD20" s="87"/>
      <c r="SVE20" s="87"/>
      <c r="SVF20" s="87"/>
      <c r="SVG20" s="87"/>
      <c r="SVH20" s="87"/>
      <c r="SVI20" s="87"/>
      <c r="SVJ20" s="87"/>
      <c r="SVK20" s="87"/>
      <c r="SVL20" s="87"/>
      <c r="SVM20" s="87"/>
      <c r="SVN20" s="87"/>
      <c r="SVO20" s="87"/>
      <c r="SVP20" s="87"/>
      <c r="SVQ20" s="87"/>
      <c r="SVR20" s="87"/>
      <c r="SVS20" s="87"/>
      <c r="SVT20" s="87"/>
      <c r="SVU20" s="87"/>
      <c r="SVV20" s="87"/>
      <c r="SVW20" s="87"/>
      <c r="SVX20" s="87"/>
      <c r="SVY20" s="87"/>
      <c r="SVZ20" s="87"/>
      <c r="SWA20" s="87"/>
      <c r="SWB20" s="87"/>
      <c r="SWC20" s="87"/>
      <c r="SWD20" s="87"/>
      <c r="SWE20" s="87"/>
      <c r="SWF20" s="87"/>
      <c r="SWG20" s="87"/>
      <c r="SWH20" s="87"/>
      <c r="SWI20" s="87"/>
      <c r="SWJ20" s="87"/>
      <c r="SWK20" s="87"/>
      <c r="SWL20" s="87"/>
      <c r="SWM20" s="87"/>
      <c r="SWN20" s="87"/>
      <c r="SWO20" s="87"/>
      <c r="SWP20" s="87"/>
      <c r="SWQ20" s="87"/>
      <c r="SWR20" s="87"/>
      <c r="SWS20" s="87"/>
      <c r="SWT20" s="87"/>
      <c r="SWU20" s="87"/>
      <c r="SWV20" s="87"/>
      <c r="SWW20" s="87"/>
      <c r="SWX20" s="87"/>
      <c r="SWY20" s="87"/>
      <c r="SWZ20" s="87"/>
      <c r="SXA20" s="87"/>
      <c r="SXB20" s="87"/>
      <c r="SXC20" s="87"/>
      <c r="SXD20" s="87"/>
      <c r="SXE20" s="87"/>
      <c r="SXF20" s="87"/>
      <c r="SXG20" s="87"/>
      <c r="SXH20" s="87"/>
      <c r="SXI20" s="87"/>
      <c r="SXJ20" s="87"/>
      <c r="SXK20" s="87"/>
      <c r="SXL20" s="87"/>
      <c r="SXM20" s="87"/>
      <c r="SXN20" s="87"/>
      <c r="SXO20" s="87"/>
      <c r="SXP20" s="87"/>
      <c r="SXQ20" s="87"/>
      <c r="SXR20" s="87"/>
      <c r="SXS20" s="87"/>
      <c r="SXT20" s="87"/>
      <c r="SXU20" s="87"/>
      <c r="SXV20" s="87"/>
      <c r="SXW20" s="87"/>
      <c r="SXX20" s="87"/>
      <c r="SXY20" s="87"/>
      <c r="SXZ20" s="87"/>
      <c r="SYA20" s="87"/>
      <c r="SYB20" s="87"/>
      <c r="SYC20" s="87"/>
      <c r="SYD20" s="87"/>
      <c r="SYE20" s="87"/>
      <c r="SYF20" s="87"/>
      <c r="SYG20" s="87"/>
      <c r="SYH20" s="87"/>
      <c r="SYI20" s="87"/>
      <c r="SYJ20" s="87"/>
      <c r="SYK20" s="87"/>
      <c r="SYL20" s="87"/>
      <c r="SYM20" s="87"/>
      <c r="SYN20" s="87"/>
      <c r="SYO20" s="87"/>
      <c r="SYP20" s="87"/>
      <c r="SYQ20" s="87"/>
      <c r="SYR20" s="87"/>
      <c r="SYS20" s="87"/>
      <c r="SYT20" s="87"/>
      <c r="SYU20" s="87"/>
      <c r="SYV20" s="87"/>
      <c r="SYW20" s="87"/>
      <c r="SYX20" s="87"/>
      <c r="SYY20" s="87"/>
      <c r="SYZ20" s="87"/>
      <c r="SZA20" s="87"/>
      <c r="SZB20" s="87"/>
      <c r="SZC20" s="87"/>
      <c r="SZD20" s="87"/>
      <c r="SZE20" s="87"/>
      <c r="SZF20" s="87"/>
      <c r="SZG20" s="87"/>
      <c r="SZH20" s="87"/>
      <c r="SZI20" s="87"/>
      <c r="SZJ20" s="87"/>
      <c r="SZK20" s="87"/>
      <c r="SZL20" s="87"/>
      <c r="SZM20" s="87"/>
      <c r="SZN20" s="87"/>
      <c r="SZO20" s="87"/>
      <c r="SZP20" s="87"/>
      <c r="SZQ20" s="87"/>
      <c r="SZR20" s="87"/>
      <c r="SZS20" s="87"/>
      <c r="SZT20" s="87"/>
      <c r="SZU20" s="87"/>
      <c r="SZV20" s="87"/>
      <c r="SZW20" s="87"/>
      <c r="SZX20" s="87"/>
      <c r="SZY20" s="87"/>
      <c r="SZZ20" s="87"/>
      <c r="TAA20" s="87"/>
      <c r="TAB20" s="87"/>
      <c r="TAC20" s="87"/>
      <c r="TAD20" s="87"/>
      <c r="TAE20" s="87"/>
      <c r="TAF20" s="87"/>
      <c r="TAG20" s="87"/>
      <c r="TAH20" s="87"/>
      <c r="TAI20" s="87"/>
      <c r="TAJ20" s="87"/>
      <c r="TAK20" s="87"/>
      <c r="TAL20" s="87"/>
      <c r="TAM20" s="87"/>
      <c r="TAN20" s="87"/>
      <c r="TAO20" s="87"/>
      <c r="TAP20" s="87"/>
      <c r="TAQ20" s="87"/>
      <c r="TAR20" s="87"/>
      <c r="TAS20" s="87"/>
      <c r="TAT20" s="87"/>
      <c r="TAU20" s="87"/>
      <c r="TAV20" s="87"/>
      <c r="TAW20" s="87"/>
      <c r="TAX20" s="87"/>
      <c r="TAY20" s="87"/>
      <c r="TAZ20" s="87"/>
      <c r="TBA20" s="87"/>
      <c r="TBB20" s="87"/>
      <c r="TBC20" s="87"/>
      <c r="TBD20" s="87"/>
      <c r="TBE20" s="87"/>
      <c r="TBF20" s="87"/>
      <c r="TBG20" s="87"/>
      <c r="TBH20" s="87"/>
      <c r="TBI20" s="87"/>
      <c r="TBJ20" s="87"/>
      <c r="TBK20" s="87"/>
      <c r="TBL20" s="87"/>
      <c r="TBM20" s="87"/>
      <c r="TBN20" s="87"/>
      <c r="TBO20" s="87"/>
      <c r="TBP20" s="87"/>
      <c r="TBQ20" s="87"/>
      <c r="TBR20" s="87"/>
      <c r="TBS20" s="87"/>
      <c r="TBT20" s="87"/>
      <c r="TBU20" s="87"/>
      <c r="TBV20" s="87"/>
      <c r="TBW20" s="87"/>
      <c r="TBX20" s="87"/>
      <c r="TBY20" s="87"/>
      <c r="TBZ20" s="87"/>
      <c r="TCA20" s="87"/>
      <c r="TCB20" s="87"/>
      <c r="TCC20" s="87"/>
      <c r="TCD20" s="87"/>
      <c r="TCE20" s="87"/>
      <c r="TCF20" s="87"/>
      <c r="TCG20" s="87"/>
      <c r="TCH20" s="87"/>
      <c r="TCI20" s="87"/>
      <c r="TCJ20" s="87"/>
      <c r="TCK20" s="87"/>
      <c r="TCL20" s="87"/>
      <c r="TCM20" s="87"/>
      <c r="TCN20" s="87"/>
      <c r="TCO20" s="87"/>
      <c r="TCP20" s="87"/>
      <c r="TCQ20" s="87"/>
      <c r="TCR20" s="87"/>
      <c r="TCS20" s="87"/>
      <c r="TCT20" s="87"/>
      <c r="TCU20" s="87"/>
      <c r="TCV20" s="87"/>
      <c r="TCW20" s="87"/>
      <c r="TCX20" s="87"/>
      <c r="TCY20" s="87"/>
      <c r="TCZ20" s="87"/>
      <c r="TDA20" s="87"/>
      <c r="TDB20" s="87"/>
      <c r="TDC20" s="87"/>
      <c r="TDD20" s="87"/>
      <c r="TDE20" s="87"/>
      <c r="TDF20" s="87"/>
      <c r="TDG20" s="87"/>
      <c r="TDH20" s="87"/>
      <c r="TDI20" s="87"/>
      <c r="TDJ20" s="87"/>
      <c r="TDK20" s="87"/>
      <c r="TDL20" s="87"/>
      <c r="TDM20" s="87"/>
      <c r="TDN20" s="87"/>
      <c r="TDO20" s="87"/>
      <c r="TDP20" s="87"/>
      <c r="TDQ20" s="87"/>
      <c r="TDR20" s="87"/>
      <c r="TDS20" s="87"/>
      <c r="TDT20" s="87"/>
      <c r="TDU20" s="87"/>
      <c r="TDV20" s="87"/>
      <c r="TDW20" s="87"/>
      <c r="TDX20" s="87"/>
      <c r="TDY20" s="87"/>
      <c r="TDZ20" s="87"/>
      <c r="TEA20" s="87"/>
      <c r="TEB20" s="87"/>
      <c r="TEC20" s="87"/>
      <c r="TED20" s="87"/>
      <c r="TEE20" s="87"/>
      <c r="TEF20" s="87"/>
      <c r="TEG20" s="87"/>
      <c r="TEH20" s="87"/>
      <c r="TEI20" s="87"/>
      <c r="TEJ20" s="87"/>
      <c r="TEK20" s="87"/>
      <c r="TEL20" s="87"/>
      <c r="TEM20" s="87"/>
      <c r="TEN20" s="87"/>
      <c r="TEO20" s="87"/>
      <c r="TEP20" s="87"/>
      <c r="TEQ20" s="87"/>
      <c r="TER20" s="87"/>
      <c r="TES20" s="87"/>
      <c r="TET20" s="87"/>
      <c r="TEU20" s="87"/>
      <c r="TEV20" s="87"/>
      <c r="TEW20" s="87"/>
      <c r="TEX20" s="87"/>
      <c r="TEY20" s="87"/>
      <c r="TEZ20" s="87"/>
      <c r="TFA20" s="87"/>
      <c r="TFB20" s="87"/>
      <c r="TFC20" s="87"/>
      <c r="TFD20" s="87"/>
      <c r="TFE20" s="87"/>
      <c r="TFF20" s="87"/>
      <c r="TFG20" s="87"/>
      <c r="TFH20" s="87"/>
      <c r="TFI20" s="87"/>
      <c r="TFJ20" s="87"/>
      <c r="TFK20" s="87"/>
      <c r="TFL20" s="87"/>
      <c r="TFM20" s="87"/>
      <c r="TFN20" s="87"/>
      <c r="TFO20" s="87"/>
      <c r="TFP20" s="87"/>
      <c r="TFQ20" s="87"/>
      <c r="TFR20" s="87"/>
      <c r="TFS20" s="87"/>
      <c r="TFT20" s="87"/>
      <c r="TFU20" s="87"/>
      <c r="TFV20" s="87"/>
      <c r="TFW20" s="87"/>
      <c r="TFX20" s="87"/>
      <c r="TFY20" s="87"/>
      <c r="TFZ20" s="87"/>
      <c r="TGA20" s="87"/>
      <c r="TGB20" s="87"/>
      <c r="TGC20" s="87"/>
      <c r="TGD20" s="87"/>
      <c r="TGE20" s="87"/>
      <c r="TGF20" s="87"/>
      <c r="TGG20" s="87"/>
      <c r="TGH20" s="87"/>
      <c r="TGI20" s="87"/>
      <c r="TGJ20" s="87"/>
      <c r="TGK20" s="87"/>
      <c r="TGL20" s="87"/>
      <c r="TGM20" s="87"/>
      <c r="TGN20" s="87"/>
      <c r="TGO20" s="87"/>
      <c r="TGP20" s="87"/>
      <c r="TGQ20" s="87"/>
      <c r="TGR20" s="87"/>
      <c r="TGS20" s="87"/>
      <c r="TGT20" s="87"/>
      <c r="TGU20" s="87"/>
      <c r="TGV20" s="87"/>
      <c r="TGW20" s="87"/>
      <c r="TGX20" s="87"/>
      <c r="TGY20" s="87"/>
      <c r="TGZ20" s="87"/>
      <c r="THA20" s="87"/>
      <c r="THB20" s="87"/>
      <c r="THC20" s="87"/>
      <c r="THD20" s="87"/>
      <c r="THE20" s="87"/>
      <c r="THF20" s="87"/>
      <c r="THG20" s="87"/>
      <c r="THH20" s="87"/>
      <c r="THI20" s="87"/>
      <c r="THJ20" s="87"/>
      <c r="THK20" s="87"/>
      <c r="THL20" s="87"/>
      <c r="THM20" s="87"/>
      <c r="THN20" s="87"/>
      <c r="THO20" s="87"/>
      <c r="THP20" s="87"/>
      <c r="THQ20" s="87"/>
      <c r="THR20" s="87"/>
      <c r="THS20" s="87"/>
      <c r="THT20" s="87"/>
      <c r="THU20" s="87"/>
      <c r="THV20" s="87"/>
      <c r="THW20" s="87"/>
      <c r="THX20" s="87"/>
      <c r="THY20" s="87"/>
      <c r="THZ20" s="87"/>
      <c r="TIA20" s="87"/>
      <c r="TIB20" s="87"/>
      <c r="TIC20" s="87"/>
      <c r="TID20" s="87"/>
      <c r="TIE20" s="87"/>
      <c r="TIF20" s="87"/>
      <c r="TIG20" s="87"/>
      <c r="TIH20" s="87"/>
      <c r="TII20" s="87"/>
      <c r="TIJ20" s="87"/>
      <c r="TIK20" s="87"/>
      <c r="TIL20" s="87"/>
      <c r="TIM20" s="87"/>
      <c r="TIN20" s="87"/>
      <c r="TIO20" s="87"/>
      <c r="TIP20" s="87"/>
      <c r="TIQ20" s="87"/>
      <c r="TIR20" s="87"/>
      <c r="TIS20" s="87"/>
      <c r="TIT20" s="87"/>
      <c r="TIU20" s="87"/>
      <c r="TIV20" s="87"/>
      <c r="TIW20" s="87"/>
      <c r="TIX20" s="87"/>
      <c r="TIY20" s="87"/>
      <c r="TIZ20" s="87"/>
      <c r="TJA20" s="87"/>
      <c r="TJB20" s="87"/>
      <c r="TJC20" s="87"/>
      <c r="TJD20" s="87"/>
      <c r="TJE20" s="87"/>
      <c r="TJF20" s="87"/>
      <c r="TJG20" s="87"/>
      <c r="TJH20" s="87"/>
      <c r="TJI20" s="87"/>
      <c r="TJJ20" s="87"/>
      <c r="TJK20" s="87"/>
      <c r="TJL20" s="87"/>
      <c r="TJM20" s="87"/>
      <c r="TJN20" s="87"/>
      <c r="TJO20" s="87"/>
      <c r="TJP20" s="87"/>
      <c r="TJQ20" s="87"/>
      <c r="TJR20" s="87"/>
      <c r="TJS20" s="87"/>
      <c r="TJT20" s="87"/>
      <c r="TJU20" s="87"/>
      <c r="TJV20" s="87"/>
      <c r="TJW20" s="87"/>
      <c r="TJX20" s="87"/>
      <c r="TJY20" s="87"/>
      <c r="TJZ20" s="87"/>
      <c r="TKA20" s="87"/>
      <c r="TKB20" s="87"/>
      <c r="TKC20" s="87"/>
      <c r="TKD20" s="87"/>
      <c r="TKE20" s="87"/>
      <c r="TKF20" s="87"/>
      <c r="TKG20" s="87"/>
      <c r="TKH20" s="87"/>
      <c r="TKI20" s="87"/>
      <c r="TKJ20" s="87"/>
      <c r="TKK20" s="87"/>
      <c r="TKL20" s="87"/>
      <c r="TKM20" s="87"/>
      <c r="TKN20" s="87"/>
      <c r="TKO20" s="87"/>
      <c r="TKP20" s="87"/>
      <c r="TKQ20" s="87"/>
      <c r="TKR20" s="87"/>
      <c r="TKS20" s="87"/>
      <c r="TKT20" s="87"/>
      <c r="TKU20" s="87"/>
      <c r="TKV20" s="87"/>
      <c r="TKW20" s="87"/>
      <c r="TKX20" s="87"/>
      <c r="TKY20" s="87"/>
      <c r="TKZ20" s="87"/>
      <c r="TLA20" s="87"/>
      <c r="TLB20" s="87"/>
      <c r="TLC20" s="87"/>
      <c r="TLD20" s="87"/>
      <c r="TLE20" s="87"/>
      <c r="TLF20" s="87"/>
      <c r="TLG20" s="87"/>
      <c r="TLH20" s="87"/>
      <c r="TLI20" s="87"/>
      <c r="TLJ20" s="87"/>
      <c r="TLK20" s="87"/>
      <c r="TLL20" s="87"/>
      <c r="TLM20" s="87"/>
      <c r="TLN20" s="87"/>
      <c r="TLO20" s="87"/>
      <c r="TLP20" s="87"/>
      <c r="TLQ20" s="87"/>
      <c r="TLR20" s="87"/>
      <c r="TLS20" s="87"/>
      <c r="TLT20" s="87"/>
      <c r="TLU20" s="87"/>
      <c r="TLV20" s="87"/>
      <c r="TLW20" s="87"/>
      <c r="TLX20" s="87"/>
      <c r="TLY20" s="87"/>
      <c r="TLZ20" s="87"/>
      <c r="TMA20" s="87"/>
      <c r="TMB20" s="87"/>
      <c r="TMC20" s="87"/>
      <c r="TMD20" s="87"/>
      <c r="TME20" s="87"/>
      <c r="TMF20" s="87"/>
      <c r="TMG20" s="87"/>
      <c r="TMH20" s="87"/>
      <c r="TMI20" s="87"/>
      <c r="TMJ20" s="87"/>
      <c r="TMK20" s="87"/>
      <c r="TML20" s="87"/>
      <c r="TMM20" s="87"/>
      <c r="TMN20" s="87"/>
      <c r="TMO20" s="87"/>
      <c r="TMP20" s="87"/>
      <c r="TMQ20" s="87"/>
      <c r="TMR20" s="87"/>
      <c r="TMS20" s="87"/>
      <c r="TMT20" s="87"/>
      <c r="TMU20" s="87"/>
      <c r="TMV20" s="87"/>
      <c r="TMW20" s="87"/>
      <c r="TMX20" s="87"/>
      <c r="TMY20" s="87"/>
      <c r="TMZ20" s="87"/>
      <c r="TNA20" s="87"/>
      <c r="TNB20" s="87"/>
      <c r="TNC20" s="87"/>
      <c r="TND20" s="87"/>
      <c r="TNE20" s="87"/>
      <c r="TNF20" s="87"/>
      <c r="TNG20" s="87"/>
      <c r="TNH20" s="87"/>
      <c r="TNI20" s="87"/>
      <c r="TNJ20" s="87"/>
      <c r="TNK20" s="87"/>
      <c r="TNL20" s="87"/>
      <c r="TNM20" s="87"/>
      <c r="TNN20" s="87"/>
      <c r="TNO20" s="87"/>
      <c r="TNP20" s="87"/>
      <c r="TNQ20" s="87"/>
      <c r="TNR20" s="87"/>
      <c r="TNS20" s="87"/>
      <c r="TNT20" s="87"/>
      <c r="TNU20" s="87"/>
      <c r="TNV20" s="87"/>
      <c r="TNW20" s="87"/>
      <c r="TNX20" s="87"/>
      <c r="TNY20" s="87"/>
      <c r="TNZ20" s="87"/>
      <c r="TOA20" s="87"/>
      <c r="TOB20" s="87"/>
      <c r="TOC20" s="87"/>
      <c r="TOD20" s="87"/>
      <c r="TOE20" s="87"/>
      <c r="TOF20" s="87"/>
      <c r="TOG20" s="87"/>
      <c r="TOH20" s="87"/>
      <c r="TOI20" s="87"/>
      <c r="TOJ20" s="87"/>
      <c r="TOK20" s="87"/>
      <c r="TOL20" s="87"/>
      <c r="TOM20" s="87"/>
      <c r="TON20" s="87"/>
      <c r="TOO20" s="87"/>
      <c r="TOP20" s="87"/>
      <c r="TOQ20" s="87"/>
      <c r="TOR20" s="87"/>
      <c r="TOS20" s="87"/>
      <c r="TOT20" s="87"/>
      <c r="TOU20" s="87"/>
      <c r="TOV20" s="87"/>
      <c r="TOW20" s="87"/>
      <c r="TOX20" s="87"/>
      <c r="TOY20" s="87"/>
      <c r="TOZ20" s="87"/>
      <c r="TPA20" s="87"/>
      <c r="TPB20" s="87"/>
      <c r="TPC20" s="87"/>
      <c r="TPD20" s="87"/>
      <c r="TPE20" s="87"/>
      <c r="TPF20" s="87"/>
      <c r="TPG20" s="87"/>
      <c r="TPH20" s="87"/>
      <c r="TPI20" s="87"/>
      <c r="TPJ20" s="87"/>
      <c r="TPK20" s="87"/>
      <c r="TPL20" s="87"/>
      <c r="TPM20" s="87"/>
      <c r="TPN20" s="87"/>
      <c r="TPO20" s="87"/>
      <c r="TPP20" s="87"/>
      <c r="TPQ20" s="87"/>
      <c r="TPR20" s="87"/>
      <c r="TPS20" s="87"/>
      <c r="TPT20" s="87"/>
      <c r="TPU20" s="87"/>
      <c r="TPV20" s="87"/>
      <c r="TPW20" s="87"/>
      <c r="TPX20" s="87"/>
      <c r="TPY20" s="87"/>
      <c r="TPZ20" s="87"/>
      <c r="TQA20" s="87"/>
      <c r="TQB20" s="87"/>
      <c r="TQC20" s="87"/>
      <c r="TQD20" s="87"/>
      <c r="TQE20" s="87"/>
      <c r="TQF20" s="87"/>
      <c r="TQG20" s="87"/>
      <c r="TQH20" s="87"/>
      <c r="TQI20" s="87"/>
      <c r="TQJ20" s="87"/>
      <c r="TQK20" s="87"/>
      <c r="TQL20" s="87"/>
      <c r="TQM20" s="87"/>
      <c r="TQN20" s="87"/>
      <c r="TQO20" s="87"/>
      <c r="TQP20" s="87"/>
      <c r="TQQ20" s="87"/>
      <c r="TQR20" s="87"/>
      <c r="TQS20" s="87"/>
      <c r="TQT20" s="87"/>
      <c r="TQU20" s="87"/>
      <c r="TQV20" s="87"/>
      <c r="TQW20" s="87"/>
      <c r="TQX20" s="87"/>
      <c r="TQY20" s="87"/>
      <c r="TQZ20" s="87"/>
      <c r="TRA20" s="87"/>
      <c r="TRB20" s="87"/>
      <c r="TRC20" s="87"/>
      <c r="TRD20" s="87"/>
      <c r="TRE20" s="87"/>
      <c r="TRF20" s="87"/>
      <c r="TRG20" s="87"/>
      <c r="TRH20" s="87"/>
      <c r="TRI20" s="87"/>
      <c r="TRJ20" s="87"/>
      <c r="TRK20" s="87"/>
      <c r="TRL20" s="87"/>
      <c r="TRM20" s="87"/>
      <c r="TRN20" s="87"/>
      <c r="TRO20" s="87"/>
      <c r="TRP20" s="87"/>
      <c r="TRQ20" s="87"/>
      <c r="TRR20" s="87"/>
      <c r="TRS20" s="87"/>
      <c r="TRT20" s="87"/>
      <c r="TRU20" s="87"/>
      <c r="TRV20" s="87"/>
      <c r="TRW20" s="87"/>
      <c r="TRX20" s="87"/>
      <c r="TRY20" s="87"/>
      <c r="TRZ20" s="87"/>
      <c r="TSA20" s="87"/>
      <c r="TSB20" s="87"/>
      <c r="TSC20" s="87"/>
      <c r="TSD20" s="87"/>
      <c r="TSE20" s="87"/>
      <c r="TSF20" s="87"/>
      <c r="TSG20" s="87"/>
      <c r="TSH20" s="87"/>
      <c r="TSI20" s="87"/>
      <c r="TSJ20" s="87"/>
      <c r="TSK20" s="87"/>
      <c r="TSL20" s="87"/>
      <c r="TSM20" s="87"/>
      <c r="TSN20" s="87"/>
      <c r="TSO20" s="87"/>
      <c r="TSP20" s="87"/>
      <c r="TSQ20" s="87"/>
      <c r="TSR20" s="87"/>
      <c r="TSS20" s="87"/>
      <c r="TST20" s="87"/>
      <c r="TSU20" s="87"/>
      <c r="TSV20" s="87"/>
      <c r="TSW20" s="87"/>
      <c r="TSX20" s="87"/>
      <c r="TSY20" s="87"/>
      <c r="TSZ20" s="87"/>
      <c r="TTA20" s="87"/>
      <c r="TTB20" s="87"/>
      <c r="TTC20" s="87"/>
      <c r="TTD20" s="87"/>
      <c r="TTE20" s="87"/>
      <c r="TTF20" s="87"/>
      <c r="TTG20" s="87"/>
      <c r="TTH20" s="87"/>
      <c r="TTI20" s="87"/>
      <c r="TTJ20" s="87"/>
      <c r="TTK20" s="87"/>
      <c r="TTL20" s="87"/>
      <c r="TTM20" s="87"/>
      <c r="TTN20" s="87"/>
      <c r="TTO20" s="87"/>
      <c r="TTP20" s="87"/>
      <c r="TTQ20" s="87"/>
      <c r="TTR20" s="87"/>
      <c r="TTS20" s="87"/>
      <c r="TTT20" s="87"/>
      <c r="TTU20" s="87"/>
      <c r="TTV20" s="87"/>
      <c r="TTW20" s="87"/>
      <c r="TTX20" s="87"/>
      <c r="TTY20" s="87"/>
      <c r="TTZ20" s="87"/>
      <c r="TUA20" s="87"/>
      <c r="TUB20" s="87"/>
      <c r="TUC20" s="87"/>
      <c r="TUD20" s="87"/>
      <c r="TUE20" s="87"/>
      <c r="TUF20" s="87"/>
      <c r="TUG20" s="87"/>
      <c r="TUH20" s="87"/>
      <c r="TUI20" s="87"/>
      <c r="TUJ20" s="87"/>
      <c r="TUK20" s="87"/>
      <c r="TUL20" s="87"/>
      <c r="TUM20" s="87"/>
      <c r="TUN20" s="87"/>
      <c r="TUO20" s="87"/>
      <c r="TUP20" s="87"/>
      <c r="TUQ20" s="87"/>
      <c r="TUR20" s="87"/>
      <c r="TUS20" s="87"/>
      <c r="TUT20" s="87"/>
      <c r="TUU20" s="87"/>
      <c r="TUV20" s="87"/>
      <c r="TUW20" s="87"/>
      <c r="TUX20" s="87"/>
      <c r="TUY20" s="87"/>
      <c r="TUZ20" s="87"/>
      <c r="TVA20" s="87"/>
      <c r="TVB20" s="87"/>
      <c r="TVC20" s="87"/>
      <c r="TVD20" s="87"/>
      <c r="TVE20" s="87"/>
      <c r="TVF20" s="87"/>
      <c r="TVG20" s="87"/>
      <c r="TVH20" s="87"/>
      <c r="TVI20" s="87"/>
      <c r="TVJ20" s="87"/>
      <c r="TVK20" s="87"/>
      <c r="TVL20" s="87"/>
      <c r="TVM20" s="87"/>
      <c r="TVN20" s="87"/>
      <c r="TVO20" s="87"/>
      <c r="TVP20" s="87"/>
      <c r="TVQ20" s="87"/>
      <c r="TVR20" s="87"/>
      <c r="TVS20" s="87"/>
      <c r="TVT20" s="87"/>
      <c r="TVU20" s="87"/>
      <c r="TVV20" s="87"/>
      <c r="TVW20" s="87"/>
      <c r="TVX20" s="87"/>
      <c r="TVY20" s="87"/>
      <c r="TVZ20" s="87"/>
      <c r="TWA20" s="87"/>
      <c r="TWB20" s="87"/>
      <c r="TWC20" s="87"/>
      <c r="TWD20" s="87"/>
      <c r="TWE20" s="87"/>
      <c r="TWF20" s="87"/>
      <c r="TWG20" s="87"/>
      <c r="TWH20" s="87"/>
      <c r="TWI20" s="87"/>
      <c r="TWJ20" s="87"/>
      <c r="TWK20" s="87"/>
      <c r="TWL20" s="87"/>
      <c r="TWM20" s="87"/>
      <c r="TWN20" s="87"/>
      <c r="TWO20" s="87"/>
      <c r="TWP20" s="87"/>
      <c r="TWQ20" s="87"/>
      <c r="TWR20" s="87"/>
      <c r="TWS20" s="87"/>
      <c r="TWT20" s="87"/>
      <c r="TWU20" s="87"/>
      <c r="TWV20" s="87"/>
      <c r="TWW20" s="87"/>
      <c r="TWX20" s="87"/>
      <c r="TWY20" s="87"/>
      <c r="TWZ20" s="87"/>
      <c r="TXA20" s="87"/>
      <c r="TXB20" s="87"/>
      <c r="TXC20" s="87"/>
      <c r="TXD20" s="87"/>
      <c r="TXE20" s="87"/>
      <c r="TXF20" s="87"/>
      <c r="TXG20" s="87"/>
      <c r="TXH20" s="87"/>
      <c r="TXI20" s="87"/>
      <c r="TXJ20" s="87"/>
      <c r="TXK20" s="87"/>
      <c r="TXL20" s="87"/>
      <c r="TXM20" s="87"/>
      <c r="TXN20" s="87"/>
      <c r="TXO20" s="87"/>
      <c r="TXP20" s="87"/>
      <c r="TXQ20" s="87"/>
      <c r="TXR20" s="87"/>
      <c r="TXS20" s="87"/>
      <c r="TXT20" s="87"/>
      <c r="TXU20" s="87"/>
      <c r="TXV20" s="87"/>
      <c r="TXW20" s="87"/>
      <c r="TXX20" s="87"/>
      <c r="TXY20" s="87"/>
      <c r="TXZ20" s="87"/>
      <c r="TYA20" s="87"/>
      <c r="TYB20" s="87"/>
      <c r="TYC20" s="87"/>
      <c r="TYD20" s="87"/>
      <c r="TYE20" s="87"/>
      <c r="TYF20" s="87"/>
      <c r="TYG20" s="87"/>
      <c r="TYH20" s="87"/>
      <c r="TYI20" s="87"/>
      <c r="TYJ20" s="87"/>
      <c r="TYK20" s="87"/>
      <c r="TYL20" s="87"/>
      <c r="TYM20" s="87"/>
      <c r="TYN20" s="87"/>
      <c r="TYO20" s="87"/>
      <c r="TYP20" s="87"/>
      <c r="TYQ20" s="87"/>
      <c r="TYR20" s="87"/>
      <c r="TYS20" s="87"/>
      <c r="TYT20" s="87"/>
      <c r="TYU20" s="87"/>
      <c r="TYV20" s="87"/>
      <c r="TYW20" s="87"/>
      <c r="TYX20" s="87"/>
      <c r="TYY20" s="87"/>
      <c r="TYZ20" s="87"/>
      <c r="TZA20" s="87"/>
      <c r="TZB20" s="87"/>
      <c r="TZC20" s="87"/>
      <c r="TZD20" s="87"/>
      <c r="TZE20" s="87"/>
      <c r="TZF20" s="87"/>
      <c r="TZG20" s="87"/>
      <c r="TZH20" s="87"/>
      <c r="TZI20" s="87"/>
      <c r="TZJ20" s="87"/>
      <c r="TZK20" s="87"/>
      <c r="TZL20" s="87"/>
      <c r="TZM20" s="87"/>
      <c r="TZN20" s="87"/>
      <c r="TZO20" s="87"/>
      <c r="TZP20" s="87"/>
      <c r="TZQ20" s="87"/>
      <c r="TZR20" s="87"/>
      <c r="TZS20" s="87"/>
      <c r="TZT20" s="87"/>
      <c r="TZU20" s="87"/>
      <c r="TZV20" s="87"/>
      <c r="TZW20" s="87"/>
      <c r="TZX20" s="87"/>
      <c r="TZY20" s="87"/>
      <c r="TZZ20" s="87"/>
      <c r="UAA20" s="87"/>
      <c r="UAB20" s="87"/>
      <c r="UAC20" s="87"/>
      <c r="UAD20" s="87"/>
      <c r="UAE20" s="87"/>
      <c r="UAF20" s="87"/>
      <c r="UAG20" s="87"/>
      <c r="UAH20" s="87"/>
      <c r="UAI20" s="87"/>
      <c r="UAJ20" s="87"/>
      <c r="UAK20" s="87"/>
      <c r="UAL20" s="87"/>
      <c r="UAM20" s="87"/>
      <c r="UAN20" s="87"/>
      <c r="UAO20" s="87"/>
      <c r="UAP20" s="87"/>
      <c r="UAQ20" s="87"/>
      <c r="UAR20" s="87"/>
      <c r="UAS20" s="87"/>
      <c r="UAT20" s="87"/>
      <c r="UAU20" s="87"/>
      <c r="UAV20" s="87"/>
      <c r="UAW20" s="87"/>
      <c r="UAX20" s="87"/>
      <c r="UAY20" s="87"/>
      <c r="UAZ20" s="87"/>
      <c r="UBA20" s="87"/>
      <c r="UBB20" s="87"/>
      <c r="UBC20" s="87"/>
      <c r="UBD20" s="87"/>
      <c r="UBE20" s="87"/>
      <c r="UBF20" s="87"/>
      <c r="UBG20" s="87"/>
      <c r="UBH20" s="87"/>
      <c r="UBI20" s="87"/>
      <c r="UBJ20" s="87"/>
      <c r="UBK20" s="87"/>
      <c r="UBL20" s="87"/>
      <c r="UBM20" s="87"/>
      <c r="UBN20" s="87"/>
      <c r="UBO20" s="87"/>
      <c r="UBP20" s="87"/>
      <c r="UBQ20" s="87"/>
      <c r="UBR20" s="87"/>
      <c r="UBS20" s="87"/>
      <c r="UBT20" s="87"/>
      <c r="UBU20" s="87"/>
      <c r="UBV20" s="87"/>
      <c r="UBW20" s="87"/>
      <c r="UBX20" s="87"/>
      <c r="UBY20" s="87"/>
      <c r="UBZ20" s="87"/>
      <c r="UCA20" s="87"/>
      <c r="UCB20" s="87"/>
      <c r="UCC20" s="87"/>
      <c r="UCD20" s="87"/>
      <c r="UCE20" s="87"/>
      <c r="UCF20" s="87"/>
      <c r="UCG20" s="87"/>
      <c r="UCH20" s="87"/>
      <c r="UCI20" s="87"/>
      <c r="UCJ20" s="87"/>
      <c r="UCK20" s="87"/>
      <c r="UCL20" s="87"/>
      <c r="UCM20" s="87"/>
      <c r="UCN20" s="87"/>
      <c r="UCO20" s="87"/>
      <c r="UCP20" s="87"/>
      <c r="UCQ20" s="87"/>
      <c r="UCR20" s="87"/>
      <c r="UCS20" s="87"/>
      <c r="UCT20" s="87"/>
      <c r="UCU20" s="87"/>
      <c r="UCV20" s="87"/>
      <c r="UCW20" s="87"/>
      <c r="UCX20" s="87"/>
      <c r="UCY20" s="87"/>
      <c r="UCZ20" s="87"/>
      <c r="UDA20" s="87"/>
      <c r="UDB20" s="87"/>
      <c r="UDC20" s="87"/>
      <c r="UDD20" s="87"/>
      <c r="UDE20" s="87"/>
      <c r="UDF20" s="87"/>
      <c r="UDG20" s="87"/>
      <c r="UDH20" s="87"/>
      <c r="UDI20" s="87"/>
      <c r="UDJ20" s="87"/>
      <c r="UDK20" s="87"/>
      <c r="UDL20" s="87"/>
      <c r="UDM20" s="87"/>
      <c r="UDN20" s="87"/>
      <c r="UDO20" s="87"/>
      <c r="UDP20" s="87"/>
      <c r="UDQ20" s="87"/>
      <c r="UDR20" s="87"/>
      <c r="UDS20" s="87"/>
      <c r="UDT20" s="87"/>
      <c r="UDU20" s="87"/>
      <c r="UDV20" s="87"/>
      <c r="UDW20" s="87"/>
      <c r="UDX20" s="87"/>
      <c r="UDY20" s="87"/>
      <c r="UDZ20" s="87"/>
      <c r="UEA20" s="87"/>
      <c r="UEB20" s="87"/>
      <c r="UEC20" s="87"/>
      <c r="UED20" s="87"/>
      <c r="UEE20" s="87"/>
      <c r="UEF20" s="87"/>
      <c r="UEG20" s="87"/>
      <c r="UEH20" s="87"/>
      <c r="UEI20" s="87"/>
      <c r="UEJ20" s="87"/>
      <c r="UEK20" s="87"/>
      <c r="UEL20" s="87"/>
      <c r="UEM20" s="87"/>
      <c r="UEN20" s="87"/>
      <c r="UEO20" s="87"/>
      <c r="UEP20" s="87"/>
      <c r="UEQ20" s="87"/>
      <c r="UER20" s="87"/>
      <c r="UES20" s="87"/>
      <c r="UET20" s="87"/>
      <c r="UEU20" s="87"/>
      <c r="UEV20" s="87"/>
      <c r="UEW20" s="87"/>
      <c r="UEX20" s="87"/>
      <c r="UEY20" s="87"/>
      <c r="UEZ20" s="87"/>
      <c r="UFA20" s="87"/>
      <c r="UFB20" s="87"/>
      <c r="UFC20" s="87"/>
      <c r="UFD20" s="87"/>
      <c r="UFE20" s="87"/>
      <c r="UFF20" s="87"/>
      <c r="UFG20" s="87"/>
      <c r="UFH20" s="87"/>
      <c r="UFI20" s="87"/>
      <c r="UFJ20" s="87"/>
      <c r="UFK20" s="87"/>
      <c r="UFL20" s="87"/>
      <c r="UFM20" s="87"/>
      <c r="UFN20" s="87"/>
      <c r="UFO20" s="87"/>
      <c r="UFP20" s="87"/>
      <c r="UFQ20" s="87"/>
      <c r="UFR20" s="87"/>
      <c r="UFS20" s="87"/>
      <c r="UFT20" s="87"/>
      <c r="UFU20" s="87"/>
      <c r="UFV20" s="87"/>
      <c r="UFW20" s="87"/>
      <c r="UFX20" s="87"/>
      <c r="UFY20" s="87"/>
      <c r="UFZ20" s="87"/>
      <c r="UGA20" s="87"/>
      <c r="UGB20" s="87"/>
      <c r="UGC20" s="87"/>
      <c r="UGD20" s="87"/>
      <c r="UGE20" s="87"/>
      <c r="UGF20" s="87"/>
      <c r="UGG20" s="87"/>
      <c r="UGH20" s="87"/>
      <c r="UGI20" s="87"/>
      <c r="UGJ20" s="87"/>
      <c r="UGK20" s="87"/>
      <c r="UGL20" s="87"/>
      <c r="UGM20" s="87"/>
      <c r="UGN20" s="87"/>
      <c r="UGO20" s="87"/>
      <c r="UGP20" s="87"/>
      <c r="UGQ20" s="87"/>
      <c r="UGR20" s="87"/>
      <c r="UGS20" s="87"/>
      <c r="UGT20" s="87"/>
      <c r="UGU20" s="87"/>
      <c r="UGV20" s="87"/>
      <c r="UGW20" s="87"/>
      <c r="UGX20" s="87"/>
      <c r="UGY20" s="87"/>
      <c r="UGZ20" s="87"/>
      <c r="UHA20" s="87"/>
      <c r="UHB20" s="87"/>
      <c r="UHC20" s="87"/>
      <c r="UHD20" s="87"/>
      <c r="UHE20" s="87"/>
      <c r="UHF20" s="87"/>
      <c r="UHG20" s="87"/>
      <c r="UHH20" s="87"/>
      <c r="UHI20" s="87"/>
      <c r="UHJ20" s="87"/>
      <c r="UHK20" s="87"/>
      <c r="UHL20" s="87"/>
      <c r="UHM20" s="87"/>
      <c r="UHN20" s="87"/>
      <c r="UHO20" s="87"/>
      <c r="UHP20" s="87"/>
      <c r="UHQ20" s="87"/>
      <c r="UHR20" s="87"/>
      <c r="UHS20" s="87"/>
      <c r="UHT20" s="87"/>
      <c r="UHU20" s="87"/>
      <c r="UHV20" s="87"/>
      <c r="UHW20" s="87"/>
      <c r="UHX20" s="87"/>
      <c r="UHY20" s="87"/>
      <c r="UHZ20" s="87"/>
      <c r="UIA20" s="87"/>
      <c r="UIB20" s="87"/>
      <c r="UIC20" s="87"/>
      <c r="UID20" s="87"/>
      <c r="UIE20" s="87"/>
      <c r="UIF20" s="87"/>
      <c r="UIG20" s="87"/>
      <c r="UIH20" s="87"/>
      <c r="UII20" s="87"/>
      <c r="UIJ20" s="87"/>
      <c r="UIK20" s="87"/>
      <c r="UIL20" s="87"/>
      <c r="UIM20" s="87"/>
      <c r="UIN20" s="87"/>
      <c r="UIO20" s="87"/>
      <c r="UIP20" s="87"/>
      <c r="UIQ20" s="87"/>
      <c r="UIR20" s="87"/>
      <c r="UIS20" s="87"/>
      <c r="UIT20" s="87"/>
      <c r="UIU20" s="87"/>
      <c r="UIV20" s="87"/>
      <c r="UIW20" s="87"/>
      <c r="UIX20" s="87"/>
      <c r="UIY20" s="87"/>
      <c r="UIZ20" s="87"/>
      <c r="UJA20" s="87"/>
      <c r="UJB20" s="87"/>
      <c r="UJC20" s="87"/>
      <c r="UJD20" s="87"/>
      <c r="UJE20" s="87"/>
      <c r="UJF20" s="87"/>
      <c r="UJG20" s="87"/>
      <c r="UJH20" s="87"/>
      <c r="UJI20" s="87"/>
      <c r="UJJ20" s="87"/>
      <c r="UJK20" s="87"/>
      <c r="UJL20" s="87"/>
      <c r="UJM20" s="87"/>
      <c r="UJN20" s="87"/>
      <c r="UJO20" s="87"/>
      <c r="UJP20" s="87"/>
      <c r="UJQ20" s="87"/>
      <c r="UJR20" s="87"/>
      <c r="UJS20" s="87"/>
      <c r="UJT20" s="87"/>
      <c r="UJU20" s="87"/>
      <c r="UJV20" s="87"/>
      <c r="UJW20" s="87"/>
      <c r="UJX20" s="87"/>
      <c r="UJY20" s="87"/>
      <c r="UJZ20" s="87"/>
      <c r="UKA20" s="87"/>
      <c r="UKB20" s="87"/>
      <c r="UKC20" s="87"/>
      <c r="UKD20" s="87"/>
      <c r="UKE20" s="87"/>
      <c r="UKF20" s="87"/>
      <c r="UKG20" s="87"/>
      <c r="UKH20" s="87"/>
      <c r="UKI20" s="87"/>
      <c r="UKJ20" s="87"/>
      <c r="UKK20" s="87"/>
      <c r="UKL20" s="87"/>
      <c r="UKM20" s="87"/>
      <c r="UKN20" s="87"/>
      <c r="UKO20" s="87"/>
      <c r="UKP20" s="87"/>
      <c r="UKQ20" s="87"/>
      <c r="UKR20" s="87"/>
      <c r="UKS20" s="87"/>
      <c r="UKT20" s="87"/>
      <c r="UKU20" s="87"/>
      <c r="UKV20" s="87"/>
      <c r="UKW20" s="87"/>
      <c r="UKX20" s="87"/>
      <c r="UKY20" s="87"/>
      <c r="UKZ20" s="87"/>
      <c r="ULA20" s="87"/>
      <c r="ULB20" s="87"/>
      <c r="ULC20" s="87"/>
      <c r="ULD20" s="87"/>
      <c r="ULE20" s="87"/>
      <c r="ULF20" s="87"/>
      <c r="ULG20" s="87"/>
      <c r="ULH20" s="87"/>
      <c r="ULI20" s="87"/>
      <c r="ULJ20" s="87"/>
      <c r="ULK20" s="87"/>
      <c r="ULL20" s="87"/>
      <c r="ULM20" s="87"/>
      <c r="ULN20" s="87"/>
      <c r="ULO20" s="87"/>
      <c r="ULP20" s="87"/>
      <c r="ULQ20" s="87"/>
      <c r="ULR20" s="87"/>
      <c r="ULS20" s="87"/>
      <c r="ULT20" s="87"/>
      <c r="ULU20" s="87"/>
      <c r="ULV20" s="87"/>
      <c r="ULW20" s="87"/>
      <c r="ULX20" s="87"/>
      <c r="ULY20" s="87"/>
      <c r="ULZ20" s="87"/>
      <c r="UMA20" s="87"/>
      <c r="UMB20" s="87"/>
      <c r="UMC20" s="87"/>
      <c r="UMD20" s="87"/>
      <c r="UME20" s="87"/>
      <c r="UMF20" s="87"/>
      <c r="UMG20" s="87"/>
      <c r="UMH20" s="87"/>
      <c r="UMI20" s="87"/>
      <c r="UMJ20" s="87"/>
      <c r="UMK20" s="87"/>
      <c r="UML20" s="87"/>
      <c r="UMM20" s="87"/>
      <c r="UMN20" s="87"/>
      <c r="UMO20" s="87"/>
      <c r="UMP20" s="87"/>
      <c r="UMQ20" s="87"/>
      <c r="UMR20" s="87"/>
      <c r="UMS20" s="87"/>
      <c r="UMT20" s="87"/>
      <c r="UMU20" s="87"/>
      <c r="UMV20" s="87"/>
      <c r="UMW20" s="87"/>
      <c r="UMX20" s="87"/>
      <c r="UMY20" s="87"/>
      <c r="UMZ20" s="87"/>
      <c r="UNA20" s="87"/>
      <c r="UNB20" s="87"/>
      <c r="UNC20" s="87"/>
      <c r="UND20" s="87"/>
      <c r="UNE20" s="87"/>
      <c r="UNF20" s="87"/>
      <c r="UNG20" s="87"/>
      <c r="UNH20" s="87"/>
      <c r="UNI20" s="87"/>
      <c r="UNJ20" s="87"/>
      <c r="UNK20" s="87"/>
      <c r="UNL20" s="87"/>
      <c r="UNM20" s="87"/>
      <c r="UNN20" s="87"/>
      <c r="UNO20" s="87"/>
      <c r="UNP20" s="87"/>
      <c r="UNQ20" s="87"/>
      <c r="UNR20" s="87"/>
      <c r="UNS20" s="87"/>
      <c r="UNT20" s="87"/>
      <c r="UNU20" s="87"/>
      <c r="UNV20" s="87"/>
      <c r="UNW20" s="87"/>
      <c r="UNX20" s="87"/>
      <c r="UNY20" s="87"/>
      <c r="UNZ20" s="87"/>
      <c r="UOA20" s="87"/>
      <c r="UOB20" s="87"/>
      <c r="UOC20" s="87"/>
      <c r="UOD20" s="87"/>
      <c r="UOE20" s="87"/>
      <c r="UOF20" s="87"/>
      <c r="UOG20" s="87"/>
      <c r="UOH20" s="87"/>
      <c r="UOI20" s="87"/>
      <c r="UOJ20" s="87"/>
      <c r="UOK20" s="87"/>
      <c r="UOL20" s="87"/>
      <c r="UOM20" s="87"/>
      <c r="UON20" s="87"/>
      <c r="UOO20" s="87"/>
      <c r="UOP20" s="87"/>
      <c r="UOQ20" s="87"/>
      <c r="UOR20" s="87"/>
      <c r="UOS20" s="87"/>
      <c r="UOT20" s="87"/>
      <c r="UOU20" s="87"/>
      <c r="UOV20" s="87"/>
      <c r="UOW20" s="87"/>
      <c r="UOX20" s="87"/>
      <c r="UOY20" s="87"/>
      <c r="UOZ20" s="87"/>
      <c r="UPA20" s="87"/>
      <c r="UPB20" s="87"/>
      <c r="UPC20" s="87"/>
      <c r="UPD20" s="87"/>
      <c r="UPE20" s="87"/>
      <c r="UPF20" s="87"/>
      <c r="UPG20" s="87"/>
      <c r="UPH20" s="87"/>
      <c r="UPI20" s="87"/>
      <c r="UPJ20" s="87"/>
      <c r="UPK20" s="87"/>
      <c r="UPL20" s="87"/>
      <c r="UPM20" s="87"/>
      <c r="UPN20" s="87"/>
      <c r="UPO20" s="87"/>
      <c r="UPP20" s="87"/>
      <c r="UPQ20" s="87"/>
      <c r="UPR20" s="87"/>
      <c r="UPS20" s="87"/>
      <c r="UPT20" s="87"/>
      <c r="UPU20" s="87"/>
      <c r="UPV20" s="87"/>
      <c r="UPW20" s="87"/>
      <c r="UPX20" s="87"/>
      <c r="UPY20" s="87"/>
      <c r="UPZ20" s="87"/>
      <c r="UQA20" s="87"/>
      <c r="UQB20" s="87"/>
      <c r="UQC20" s="87"/>
      <c r="UQD20" s="87"/>
      <c r="UQE20" s="87"/>
      <c r="UQF20" s="87"/>
      <c r="UQG20" s="87"/>
      <c r="UQH20" s="87"/>
      <c r="UQI20" s="87"/>
      <c r="UQJ20" s="87"/>
      <c r="UQK20" s="87"/>
      <c r="UQL20" s="87"/>
      <c r="UQM20" s="87"/>
      <c r="UQN20" s="87"/>
      <c r="UQO20" s="87"/>
      <c r="UQP20" s="87"/>
      <c r="UQQ20" s="87"/>
      <c r="UQR20" s="87"/>
      <c r="UQS20" s="87"/>
      <c r="UQT20" s="87"/>
      <c r="UQU20" s="87"/>
      <c r="UQV20" s="87"/>
      <c r="UQW20" s="87"/>
      <c r="UQX20" s="87"/>
      <c r="UQY20" s="87"/>
      <c r="UQZ20" s="87"/>
      <c r="URA20" s="87"/>
      <c r="URB20" s="87"/>
      <c r="URC20" s="87"/>
      <c r="URD20" s="87"/>
      <c r="URE20" s="87"/>
      <c r="URF20" s="87"/>
      <c r="URG20" s="87"/>
      <c r="URH20" s="87"/>
      <c r="URI20" s="87"/>
      <c r="URJ20" s="87"/>
      <c r="URK20" s="87"/>
      <c r="URL20" s="87"/>
      <c r="URM20" s="87"/>
      <c r="URN20" s="87"/>
      <c r="URO20" s="87"/>
      <c r="URP20" s="87"/>
      <c r="URQ20" s="87"/>
      <c r="URR20" s="87"/>
      <c r="URS20" s="87"/>
      <c r="URT20" s="87"/>
      <c r="URU20" s="87"/>
      <c r="URV20" s="87"/>
      <c r="URW20" s="87"/>
      <c r="URX20" s="87"/>
      <c r="URY20" s="87"/>
      <c r="URZ20" s="87"/>
      <c r="USA20" s="87"/>
      <c r="USB20" s="87"/>
      <c r="USC20" s="87"/>
      <c r="USD20" s="87"/>
      <c r="USE20" s="87"/>
      <c r="USF20" s="87"/>
      <c r="USG20" s="87"/>
      <c r="USH20" s="87"/>
      <c r="USI20" s="87"/>
      <c r="USJ20" s="87"/>
      <c r="USK20" s="87"/>
      <c r="USL20" s="87"/>
      <c r="USM20" s="87"/>
      <c r="USN20" s="87"/>
      <c r="USO20" s="87"/>
      <c r="USP20" s="87"/>
      <c r="USQ20" s="87"/>
      <c r="USR20" s="87"/>
      <c r="USS20" s="87"/>
      <c r="UST20" s="87"/>
      <c r="USU20" s="87"/>
      <c r="USV20" s="87"/>
      <c r="USW20" s="87"/>
      <c r="USX20" s="87"/>
      <c r="USY20" s="87"/>
      <c r="USZ20" s="87"/>
      <c r="UTA20" s="87"/>
      <c r="UTB20" s="87"/>
      <c r="UTC20" s="87"/>
      <c r="UTD20" s="87"/>
      <c r="UTE20" s="87"/>
      <c r="UTF20" s="87"/>
      <c r="UTG20" s="87"/>
      <c r="UTH20" s="87"/>
      <c r="UTI20" s="87"/>
      <c r="UTJ20" s="87"/>
      <c r="UTK20" s="87"/>
      <c r="UTL20" s="87"/>
      <c r="UTM20" s="87"/>
      <c r="UTN20" s="87"/>
      <c r="UTO20" s="87"/>
      <c r="UTP20" s="87"/>
      <c r="UTQ20" s="87"/>
      <c r="UTR20" s="87"/>
      <c r="UTS20" s="87"/>
      <c r="UTT20" s="87"/>
      <c r="UTU20" s="87"/>
      <c r="UTV20" s="87"/>
      <c r="UTW20" s="87"/>
      <c r="UTX20" s="87"/>
      <c r="UTY20" s="87"/>
      <c r="UTZ20" s="87"/>
      <c r="UUA20" s="87"/>
      <c r="UUB20" s="87"/>
      <c r="UUC20" s="87"/>
      <c r="UUD20" s="87"/>
      <c r="UUE20" s="87"/>
      <c r="UUF20" s="87"/>
      <c r="UUG20" s="87"/>
      <c r="UUH20" s="87"/>
      <c r="UUI20" s="87"/>
      <c r="UUJ20" s="87"/>
      <c r="UUK20" s="87"/>
      <c r="UUL20" s="87"/>
      <c r="UUM20" s="87"/>
      <c r="UUN20" s="87"/>
      <c r="UUO20" s="87"/>
      <c r="UUP20" s="87"/>
      <c r="UUQ20" s="87"/>
      <c r="UUR20" s="87"/>
      <c r="UUS20" s="87"/>
      <c r="UUT20" s="87"/>
      <c r="UUU20" s="87"/>
      <c r="UUV20" s="87"/>
      <c r="UUW20" s="87"/>
      <c r="UUX20" s="87"/>
      <c r="UUY20" s="87"/>
      <c r="UUZ20" s="87"/>
      <c r="UVA20" s="87"/>
      <c r="UVB20" s="87"/>
      <c r="UVC20" s="87"/>
      <c r="UVD20" s="87"/>
      <c r="UVE20" s="87"/>
      <c r="UVF20" s="87"/>
      <c r="UVG20" s="87"/>
      <c r="UVH20" s="87"/>
      <c r="UVI20" s="87"/>
      <c r="UVJ20" s="87"/>
      <c r="UVK20" s="87"/>
      <c r="UVL20" s="87"/>
      <c r="UVM20" s="87"/>
      <c r="UVN20" s="87"/>
      <c r="UVO20" s="87"/>
      <c r="UVP20" s="87"/>
      <c r="UVQ20" s="87"/>
      <c r="UVR20" s="87"/>
      <c r="UVS20" s="87"/>
      <c r="UVT20" s="87"/>
      <c r="UVU20" s="87"/>
      <c r="UVV20" s="87"/>
      <c r="UVW20" s="87"/>
      <c r="UVX20" s="87"/>
      <c r="UVY20" s="87"/>
      <c r="UVZ20" s="87"/>
      <c r="UWA20" s="87"/>
      <c r="UWB20" s="87"/>
      <c r="UWC20" s="87"/>
      <c r="UWD20" s="87"/>
      <c r="UWE20" s="87"/>
      <c r="UWF20" s="87"/>
      <c r="UWG20" s="87"/>
      <c r="UWH20" s="87"/>
      <c r="UWI20" s="87"/>
      <c r="UWJ20" s="87"/>
      <c r="UWK20" s="87"/>
      <c r="UWL20" s="87"/>
      <c r="UWM20" s="87"/>
      <c r="UWN20" s="87"/>
      <c r="UWO20" s="87"/>
      <c r="UWP20" s="87"/>
      <c r="UWQ20" s="87"/>
      <c r="UWR20" s="87"/>
      <c r="UWS20" s="87"/>
      <c r="UWT20" s="87"/>
      <c r="UWU20" s="87"/>
      <c r="UWV20" s="87"/>
      <c r="UWW20" s="87"/>
      <c r="UWX20" s="87"/>
      <c r="UWY20" s="87"/>
      <c r="UWZ20" s="87"/>
      <c r="UXA20" s="87"/>
      <c r="UXB20" s="87"/>
      <c r="UXC20" s="87"/>
      <c r="UXD20" s="87"/>
      <c r="UXE20" s="87"/>
      <c r="UXF20" s="87"/>
      <c r="UXG20" s="87"/>
      <c r="UXH20" s="87"/>
      <c r="UXI20" s="87"/>
      <c r="UXJ20" s="87"/>
      <c r="UXK20" s="87"/>
      <c r="UXL20" s="87"/>
      <c r="UXM20" s="87"/>
      <c r="UXN20" s="87"/>
      <c r="UXO20" s="87"/>
      <c r="UXP20" s="87"/>
      <c r="UXQ20" s="87"/>
      <c r="UXR20" s="87"/>
      <c r="UXS20" s="87"/>
      <c r="UXT20" s="87"/>
      <c r="UXU20" s="87"/>
      <c r="UXV20" s="87"/>
      <c r="UXW20" s="87"/>
      <c r="UXX20" s="87"/>
      <c r="UXY20" s="87"/>
      <c r="UXZ20" s="87"/>
      <c r="UYA20" s="87"/>
      <c r="UYB20" s="87"/>
      <c r="UYC20" s="87"/>
      <c r="UYD20" s="87"/>
      <c r="UYE20" s="87"/>
      <c r="UYF20" s="87"/>
      <c r="UYG20" s="87"/>
      <c r="UYH20" s="87"/>
      <c r="UYI20" s="87"/>
      <c r="UYJ20" s="87"/>
      <c r="UYK20" s="87"/>
      <c r="UYL20" s="87"/>
      <c r="UYM20" s="87"/>
      <c r="UYN20" s="87"/>
      <c r="UYO20" s="87"/>
      <c r="UYP20" s="87"/>
      <c r="UYQ20" s="87"/>
      <c r="UYR20" s="87"/>
      <c r="UYS20" s="87"/>
      <c r="UYT20" s="87"/>
      <c r="UYU20" s="87"/>
      <c r="UYV20" s="87"/>
      <c r="UYW20" s="87"/>
      <c r="UYX20" s="87"/>
      <c r="UYY20" s="87"/>
      <c r="UYZ20" s="87"/>
      <c r="UZA20" s="87"/>
      <c r="UZB20" s="87"/>
      <c r="UZC20" s="87"/>
      <c r="UZD20" s="87"/>
      <c r="UZE20" s="87"/>
      <c r="UZF20" s="87"/>
      <c r="UZG20" s="87"/>
      <c r="UZH20" s="87"/>
      <c r="UZI20" s="87"/>
      <c r="UZJ20" s="87"/>
      <c r="UZK20" s="87"/>
      <c r="UZL20" s="87"/>
      <c r="UZM20" s="87"/>
      <c r="UZN20" s="87"/>
      <c r="UZO20" s="87"/>
      <c r="UZP20" s="87"/>
      <c r="UZQ20" s="87"/>
      <c r="UZR20" s="87"/>
      <c r="UZS20" s="87"/>
      <c r="UZT20" s="87"/>
      <c r="UZU20" s="87"/>
      <c r="UZV20" s="87"/>
      <c r="UZW20" s="87"/>
      <c r="UZX20" s="87"/>
      <c r="UZY20" s="87"/>
      <c r="UZZ20" s="87"/>
      <c r="VAA20" s="87"/>
      <c r="VAB20" s="87"/>
      <c r="VAC20" s="87"/>
      <c r="VAD20" s="87"/>
      <c r="VAE20" s="87"/>
      <c r="VAF20" s="87"/>
      <c r="VAG20" s="87"/>
      <c r="VAH20" s="87"/>
      <c r="VAI20" s="87"/>
      <c r="VAJ20" s="87"/>
      <c r="VAK20" s="87"/>
      <c r="VAL20" s="87"/>
      <c r="VAM20" s="87"/>
      <c r="VAN20" s="87"/>
      <c r="VAO20" s="87"/>
      <c r="VAP20" s="87"/>
      <c r="VAQ20" s="87"/>
      <c r="VAR20" s="87"/>
      <c r="VAS20" s="87"/>
      <c r="VAT20" s="87"/>
      <c r="VAU20" s="87"/>
      <c r="VAV20" s="87"/>
      <c r="VAW20" s="87"/>
      <c r="VAX20" s="87"/>
      <c r="VAY20" s="87"/>
      <c r="VAZ20" s="87"/>
      <c r="VBA20" s="87"/>
      <c r="VBB20" s="87"/>
      <c r="VBC20" s="87"/>
      <c r="VBD20" s="87"/>
      <c r="VBE20" s="87"/>
      <c r="VBF20" s="87"/>
      <c r="VBG20" s="87"/>
      <c r="VBH20" s="87"/>
      <c r="VBI20" s="87"/>
      <c r="VBJ20" s="87"/>
      <c r="VBK20" s="87"/>
      <c r="VBL20" s="87"/>
      <c r="VBM20" s="87"/>
      <c r="VBN20" s="87"/>
      <c r="VBO20" s="87"/>
      <c r="VBP20" s="87"/>
      <c r="VBQ20" s="87"/>
      <c r="VBR20" s="87"/>
      <c r="VBS20" s="87"/>
      <c r="VBT20" s="87"/>
      <c r="VBU20" s="87"/>
      <c r="VBV20" s="87"/>
      <c r="VBW20" s="87"/>
      <c r="VBX20" s="87"/>
      <c r="VBY20" s="87"/>
      <c r="VBZ20" s="87"/>
      <c r="VCA20" s="87"/>
      <c r="VCB20" s="87"/>
      <c r="VCC20" s="87"/>
      <c r="VCD20" s="87"/>
      <c r="VCE20" s="87"/>
      <c r="VCF20" s="87"/>
      <c r="VCG20" s="87"/>
      <c r="VCH20" s="87"/>
      <c r="VCI20" s="87"/>
      <c r="VCJ20" s="87"/>
      <c r="VCK20" s="87"/>
      <c r="VCL20" s="87"/>
      <c r="VCM20" s="87"/>
      <c r="VCN20" s="87"/>
      <c r="VCO20" s="87"/>
      <c r="VCP20" s="87"/>
      <c r="VCQ20" s="87"/>
      <c r="VCR20" s="87"/>
      <c r="VCS20" s="87"/>
      <c r="VCT20" s="87"/>
      <c r="VCU20" s="87"/>
      <c r="VCV20" s="87"/>
      <c r="VCW20" s="87"/>
      <c r="VCX20" s="87"/>
      <c r="VCY20" s="87"/>
      <c r="VCZ20" s="87"/>
      <c r="VDA20" s="87"/>
      <c r="VDB20" s="87"/>
      <c r="VDC20" s="87"/>
      <c r="VDD20" s="87"/>
      <c r="VDE20" s="87"/>
      <c r="VDF20" s="87"/>
      <c r="VDG20" s="87"/>
      <c r="VDH20" s="87"/>
      <c r="VDI20" s="87"/>
      <c r="VDJ20" s="87"/>
      <c r="VDK20" s="87"/>
      <c r="VDL20" s="87"/>
      <c r="VDM20" s="87"/>
      <c r="VDN20" s="87"/>
      <c r="VDO20" s="87"/>
      <c r="VDP20" s="87"/>
      <c r="VDQ20" s="87"/>
      <c r="VDR20" s="87"/>
      <c r="VDS20" s="87"/>
      <c r="VDT20" s="87"/>
      <c r="VDU20" s="87"/>
      <c r="VDV20" s="87"/>
      <c r="VDW20" s="87"/>
      <c r="VDX20" s="87"/>
      <c r="VDY20" s="87"/>
      <c r="VDZ20" s="87"/>
      <c r="VEA20" s="87"/>
      <c r="VEB20" s="87"/>
      <c r="VEC20" s="87"/>
      <c r="VED20" s="87"/>
      <c r="VEE20" s="87"/>
      <c r="VEF20" s="87"/>
      <c r="VEG20" s="87"/>
      <c r="VEH20" s="87"/>
      <c r="VEI20" s="87"/>
      <c r="VEJ20" s="87"/>
      <c r="VEK20" s="87"/>
      <c r="VEL20" s="87"/>
      <c r="VEM20" s="87"/>
      <c r="VEN20" s="87"/>
      <c r="VEO20" s="87"/>
      <c r="VEP20" s="87"/>
      <c r="VEQ20" s="87"/>
      <c r="VER20" s="87"/>
      <c r="VES20" s="87"/>
      <c r="VET20" s="87"/>
      <c r="VEU20" s="87"/>
      <c r="VEV20" s="87"/>
      <c r="VEW20" s="87"/>
      <c r="VEX20" s="87"/>
      <c r="VEY20" s="87"/>
      <c r="VEZ20" s="87"/>
      <c r="VFA20" s="87"/>
      <c r="VFB20" s="87"/>
      <c r="VFC20" s="87"/>
      <c r="VFD20" s="87"/>
      <c r="VFE20" s="87"/>
      <c r="VFF20" s="87"/>
      <c r="VFG20" s="87"/>
      <c r="VFH20" s="87"/>
      <c r="VFI20" s="87"/>
      <c r="VFJ20" s="87"/>
      <c r="VFK20" s="87"/>
      <c r="VFL20" s="87"/>
      <c r="VFM20" s="87"/>
      <c r="VFN20" s="87"/>
      <c r="VFO20" s="87"/>
      <c r="VFP20" s="87"/>
      <c r="VFQ20" s="87"/>
      <c r="VFR20" s="87"/>
      <c r="VFS20" s="87"/>
      <c r="VFT20" s="87"/>
      <c r="VFU20" s="87"/>
      <c r="VFV20" s="87"/>
      <c r="VFW20" s="87"/>
      <c r="VFX20" s="87"/>
      <c r="VFY20" s="87"/>
      <c r="VFZ20" s="87"/>
      <c r="VGA20" s="87"/>
      <c r="VGB20" s="87"/>
      <c r="VGC20" s="87"/>
      <c r="VGD20" s="87"/>
      <c r="VGE20" s="87"/>
      <c r="VGF20" s="87"/>
      <c r="VGG20" s="87"/>
      <c r="VGH20" s="87"/>
      <c r="VGI20" s="87"/>
      <c r="VGJ20" s="87"/>
      <c r="VGK20" s="87"/>
      <c r="VGL20" s="87"/>
      <c r="VGM20" s="87"/>
      <c r="VGN20" s="87"/>
      <c r="VGO20" s="87"/>
      <c r="VGP20" s="87"/>
      <c r="VGQ20" s="87"/>
      <c r="VGR20" s="87"/>
      <c r="VGS20" s="87"/>
      <c r="VGT20" s="87"/>
      <c r="VGU20" s="87"/>
      <c r="VGV20" s="87"/>
      <c r="VGW20" s="87"/>
      <c r="VGX20" s="87"/>
      <c r="VGY20" s="87"/>
      <c r="VGZ20" s="87"/>
      <c r="VHA20" s="87"/>
      <c r="VHB20" s="87"/>
      <c r="VHC20" s="87"/>
      <c r="VHD20" s="87"/>
      <c r="VHE20" s="87"/>
      <c r="VHF20" s="87"/>
      <c r="VHG20" s="87"/>
      <c r="VHH20" s="87"/>
      <c r="VHI20" s="87"/>
      <c r="VHJ20" s="87"/>
      <c r="VHK20" s="87"/>
      <c r="VHL20" s="87"/>
      <c r="VHM20" s="87"/>
      <c r="VHN20" s="87"/>
      <c r="VHO20" s="87"/>
      <c r="VHP20" s="87"/>
      <c r="VHQ20" s="87"/>
      <c r="VHR20" s="87"/>
      <c r="VHS20" s="87"/>
      <c r="VHT20" s="87"/>
      <c r="VHU20" s="87"/>
      <c r="VHV20" s="87"/>
      <c r="VHW20" s="87"/>
      <c r="VHX20" s="87"/>
      <c r="VHY20" s="87"/>
      <c r="VHZ20" s="87"/>
      <c r="VIA20" s="87"/>
      <c r="VIB20" s="87"/>
      <c r="VIC20" s="87"/>
      <c r="VID20" s="87"/>
      <c r="VIE20" s="87"/>
      <c r="VIF20" s="87"/>
      <c r="VIG20" s="87"/>
      <c r="VIH20" s="87"/>
      <c r="VII20" s="87"/>
      <c r="VIJ20" s="87"/>
      <c r="VIK20" s="87"/>
      <c r="VIL20" s="87"/>
      <c r="VIM20" s="87"/>
      <c r="VIN20" s="87"/>
      <c r="VIO20" s="87"/>
      <c r="VIP20" s="87"/>
      <c r="VIQ20" s="87"/>
      <c r="VIR20" s="87"/>
      <c r="VIS20" s="87"/>
      <c r="VIT20" s="87"/>
      <c r="VIU20" s="87"/>
      <c r="VIV20" s="87"/>
      <c r="VIW20" s="87"/>
      <c r="VIX20" s="87"/>
      <c r="VIY20" s="87"/>
      <c r="VIZ20" s="87"/>
      <c r="VJA20" s="87"/>
      <c r="VJB20" s="87"/>
      <c r="VJC20" s="87"/>
      <c r="VJD20" s="87"/>
      <c r="VJE20" s="87"/>
      <c r="VJF20" s="87"/>
      <c r="VJG20" s="87"/>
      <c r="VJH20" s="87"/>
      <c r="VJI20" s="87"/>
      <c r="VJJ20" s="87"/>
      <c r="VJK20" s="87"/>
      <c r="VJL20" s="87"/>
      <c r="VJM20" s="87"/>
      <c r="VJN20" s="87"/>
      <c r="VJO20" s="87"/>
      <c r="VJP20" s="87"/>
      <c r="VJQ20" s="87"/>
      <c r="VJR20" s="87"/>
      <c r="VJS20" s="87"/>
      <c r="VJT20" s="87"/>
      <c r="VJU20" s="87"/>
      <c r="VJV20" s="87"/>
      <c r="VJW20" s="87"/>
      <c r="VJX20" s="87"/>
      <c r="VJY20" s="87"/>
      <c r="VJZ20" s="87"/>
      <c r="VKA20" s="87"/>
      <c r="VKB20" s="87"/>
      <c r="VKC20" s="87"/>
      <c r="VKD20" s="87"/>
      <c r="VKE20" s="87"/>
      <c r="VKF20" s="87"/>
      <c r="VKG20" s="87"/>
      <c r="VKH20" s="87"/>
      <c r="VKI20" s="87"/>
      <c r="VKJ20" s="87"/>
      <c r="VKK20" s="87"/>
      <c r="VKL20" s="87"/>
      <c r="VKM20" s="87"/>
      <c r="VKN20" s="87"/>
      <c r="VKO20" s="87"/>
      <c r="VKP20" s="87"/>
      <c r="VKQ20" s="87"/>
      <c r="VKR20" s="87"/>
      <c r="VKS20" s="87"/>
      <c r="VKT20" s="87"/>
      <c r="VKU20" s="87"/>
      <c r="VKV20" s="87"/>
      <c r="VKW20" s="87"/>
      <c r="VKX20" s="87"/>
      <c r="VKY20" s="87"/>
      <c r="VKZ20" s="87"/>
      <c r="VLA20" s="87"/>
      <c r="VLB20" s="87"/>
      <c r="VLC20" s="87"/>
      <c r="VLD20" s="87"/>
      <c r="VLE20" s="87"/>
      <c r="VLF20" s="87"/>
      <c r="VLG20" s="87"/>
      <c r="VLH20" s="87"/>
      <c r="VLI20" s="87"/>
      <c r="VLJ20" s="87"/>
      <c r="VLK20" s="87"/>
      <c r="VLL20" s="87"/>
      <c r="VLM20" s="87"/>
      <c r="VLN20" s="87"/>
      <c r="VLO20" s="87"/>
      <c r="VLP20" s="87"/>
      <c r="VLQ20" s="87"/>
      <c r="VLR20" s="87"/>
      <c r="VLS20" s="87"/>
      <c r="VLT20" s="87"/>
      <c r="VLU20" s="87"/>
      <c r="VLV20" s="87"/>
      <c r="VLW20" s="87"/>
      <c r="VLX20" s="87"/>
      <c r="VLY20" s="87"/>
      <c r="VLZ20" s="87"/>
      <c r="VMA20" s="87"/>
      <c r="VMB20" s="87"/>
      <c r="VMC20" s="87"/>
      <c r="VMD20" s="87"/>
      <c r="VME20" s="87"/>
      <c r="VMF20" s="87"/>
      <c r="VMG20" s="87"/>
      <c r="VMH20" s="87"/>
      <c r="VMI20" s="87"/>
      <c r="VMJ20" s="87"/>
      <c r="VMK20" s="87"/>
      <c r="VML20" s="87"/>
      <c r="VMM20" s="87"/>
      <c r="VMN20" s="87"/>
      <c r="VMO20" s="87"/>
      <c r="VMP20" s="87"/>
      <c r="VMQ20" s="87"/>
      <c r="VMR20" s="87"/>
      <c r="VMS20" s="87"/>
      <c r="VMT20" s="87"/>
      <c r="VMU20" s="87"/>
      <c r="VMV20" s="87"/>
      <c r="VMW20" s="87"/>
      <c r="VMX20" s="87"/>
      <c r="VMY20" s="87"/>
      <c r="VMZ20" s="87"/>
      <c r="VNA20" s="87"/>
      <c r="VNB20" s="87"/>
      <c r="VNC20" s="87"/>
      <c r="VND20" s="87"/>
      <c r="VNE20" s="87"/>
      <c r="VNF20" s="87"/>
      <c r="VNG20" s="87"/>
      <c r="VNH20" s="87"/>
      <c r="VNI20" s="87"/>
      <c r="VNJ20" s="87"/>
      <c r="VNK20" s="87"/>
      <c r="VNL20" s="87"/>
      <c r="VNM20" s="87"/>
      <c r="VNN20" s="87"/>
      <c r="VNO20" s="87"/>
      <c r="VNP20" s="87"/>
      <c r="VNQ20" s="87"/>
      <c r="VNR20" s="87"/>
      <c r="VNS20" s="87"/>
      <c r="VNT20" s="87"/>
      <c r="VNU20" s="87"/>
      <c r="VNV20" s="87"/>
      <c r="VNW20" s="87"/>
      <c r="VNX20" s="87"/>
      <c r="VNY20" s="87"/>
      <c r="VNZ20" s="87"/>
      <c r="VOA20" s="87"/>
      <c r="VOB20" s="87"/>
      <c r="VOC20" s="87"/>
      <c r="VOD20" s="87"/>
      <c r="VOE20" s="87"/>
      <c r="VOF20" s="87"/>
      <c r="VOG20" s="87"/>
      <c r="VOH20" s="87"/>
      <c r="VOI20" s="87"/>
      <c r="VOJ20" s="87"/>
      <c r="VOK20" s="87"/>
      <c r="VOL20" s="87"/>
      <c r="VOM20" s="87"/>
      <c r="VON20" s="87"/>
      <c r="VOO20" s="87"/>
      <c r="VOP20" s="87"/>
      <c r="VOQ20" s="87"/>
      <c r="VOR20" s="87"/>
      <c r="VOS20" s="87"/>
      <c r="VOT20" s="87"/>
      <c r="VOU20" s="87"/>
      <c r="VOV20" s="87"/>
      <c r="VOW20" s="87"/>
      <c r="VOX20" s="87"/>
      <c r="VOY20" s="87"/>
      <c r="VOZ20" s="87"/>
      <c r="VPA20" s="87"/>
      <c r="VPB20" s="87"/>
      <c r="VPC20" s="87"/>
      <c r="VPD20" s="87"/>
      <c r="VPE20" s="87"/>
      <c r="VPF20" s="87"/>
      <c r="VPG20" s="87"/>
      <c r="VPH20" s="87"/>
      <c r="VPI20" s="87"/>
      <c r="VPJ20" s="87"/>
      <c r="VPK20" s="87"/>
      <c r="VPL20" s="87"/>
      <c r="VPM20" s="87"/>
      <c r="VPN20" s="87"/>
      <c r="VPO20" s="87"/>
      <c r="VPP20" s="87"/>
      <c r="VPQ20" s="87"/>
      <c r="VPR20" s="87"/>
      <c r="VPS20" s="87"/>
      <c r="VPT20" s="87"/>
      <c r="VPU20" s="87"/>
      <c r="VPV20" s="87"/>
      <c r="VPW20" s="87"/>
      <c r="VPX20" s="87"/>
      <c r="VPY20" s="87"/>
      <c r="VPZ20" s="87"/>
      <c r="VQA20" s="87"/>
      <c r="VQB20" s="87"/>
      <c r="VQC20" s="87"/>
      <c r="VQD20" s="87"/>
      <c r="VQE20" s="87"/>
      <c r="VQF20" s="87"/>
      <c r="VQG20" s="87"/>
      <c r="VQH20" s="87"/>
      <c r="VQI20" s="87"/>
      <c r="VQJ20" s="87"/>
      <c r="VQK20" s="87"/>
      <c r="VQL20" s="87"/>
      <c r="VQM20" s="87"/>
      <c r="VQN20" s="87"/>
      <c r="VQO20" s="87"/>
      <c r="VQP20" s="87"/>
      <c r="VQQ20" s="87"/>
      <c r="VQR20" s="87"/>
      <c r="VQS20" s="87"/>
      <c r="VQT20" s="87"/>
      <c r="VQU20" s="87"/>
      <c r="VQV20" s="87"/>
      <c r="VQW20" s="87"/>
      <c r="VQX20" s="87"/>
      <c r="VQY20" s="87"/>
      <c r="VQZ20" s="87"/>
      <c r="VRA20" s="87"/>
      <c r="VRB20" s="87"/>
      <c r="VRC20" s="87"/>
      <c r="VRD20" s="87"/>
      <c r="VRE20" s="87"/>
      <c r="VRF20" s="87"/>
      <c r="VRG20" s="87"/>
      <c r="VRH20" s="87"/>
      <c r="VRI20" s="87"/>
      <c r="VRJ20" s="87"/>
      <c r="VRK20" s="87"/>
      <c r="VRL20" s="87"/>
      <c r="VRM20" s="87"/>
      <c r="VRN20" s="87"/>
      <c r="VRO20" s="87"/>
      <c r="VRP20" s="87"/>
      <c r="VRQ20" s="87"/>
      <c r="VRR20" s="87"/>
      <c r="VRS20" s="87"/>
      <c r="VRT20" s="87"/>
      <c r="VRU20" s="87"/>
      <c r="VRV20" s="87"/>
      <c r="VRW20" s="87"/>
      <c r="VRX20" s="87"/>
      <c r="VRY20" s="87"/>
      <c r="VRZ20" s="87"/>
      <c r="VSA20" s="87"/>
      <c r="VSB20" s="87"/>
      <c r="VSC20" s="87"/>
      <c r="VSD20" s="87"/>
      <c r="VSE20" s="87"/>
      <c r="VSF20" s="87"/>
      <c r="VSG20" s="87"/>
      <c r="VSH20" s="87"/>
      <c r="VSI20" s="87"/>
      <c r="VSJ20" s="87"/>
      <c r="VSK20" s="87"/>
      <c r="VSL20" s="87"/>
      <c r="VSM20" s="87"/>
      <c r="VSN20" s="87"/>
      <c r="VSO20" s="87"/>
      <c r="VSP20" s="87"/>
      <c r="VSQ20" s="87"/>
      <c r="VSR20" s="87"/>
      <c r="VSS20" s="87"/>
      <c r="VST20" s="87"/>
      <c r="VSU20" s="87"/>
      <c r="VSV20" s="87"/>
      <c r="VSW20" s="87"/>
      <c r="VSX20" s="87"/>
      <c r="VSY20" s="87"/>
      <c r="VSZ20" s="87"/>
      <c r="VTA20" s="87"/>
      <c r="VTB20" s="87"/>
      <c r="VTC20" s="87"/>
      <c r="VTD20" s="87"/>
      <c r="VTE20" s="87"/>
      <c r="VTF20" s="87"/>
      <c r="VTG20" s="87"/>
      <c r="VTH20" s="87"/>
      <c r="VTI20" s="87"/>
      <c r="VTJ20" s="87"/>
      <c r="VTK20" s="87"/>
      <c r="VTL20" s="87"/>
      <c r="VTM20" s="87"/>
      <c r="VTN20" s="87"/>
      <c r="VTO20" s="87"/>
      <c r="VTP20" s="87"/>
      <c r="VTQ20" s="87"/>
      <c r="VTR20" s="87"/>
      <c r="VTS20" s="87"/>
      <c r="VTT20" s="87"/>
      <c r="VTU20" s="87"/>
      <c r="VTV20" s="87"/>
      <c r="VTW20" s="87"/>
      <c r="VTX20" s="87"/>
      <c r="VTY20" s="87"/>
      <c r="VTZ20" s="87"/>
      <c r="VUA20" s="87"/>
      <c r="VUB20" s="87"/>
      <c r="VUC20" s="87"/>
      <c r="VUD20" s="87"/>
      <c r="VUE20" s="87"/>
      <c r="VUF20" s="87"/>
      <c r="VUG20" s="87"/>
      <c r="VUH20" s="87"/>
      <c r="VUI20" s="87"/>
      <c r="VUJ20" s="87"/>
      <c r="VUK20" s="87"/>
      <c r="VUL20" s="87"/>
      <c r="VUM20" s="87"/>
      <c r="VUN20" s="87"/>
      <c r="VUO20" s="87"/>
      <c r="VUP20" s="87"/>
      <c r="VUQ20" s="87"/>
      <c r="VUR20" s="87"/>
      <c r="VUS20" s="87"/>
      <c r="VUT20" s="87"/>
      <c r="VUU20" s="87"/>
      <c r="VUV20" s="87"/>
      <c r="VUW20" s="87"/>
      <c r="VUX20" s="87"/>
      <c r="VUY20" s="87"/>
      <c r="VUZ20" s="87"/>
      <c r="VVA20" s="87"/>
      <c r="VVB20" s="87"/>
      <c r="VVC20" s="87"/>
      <c r="VVD20" s="87"/>
      <c r="VVE20" s="87"/>
      <c r="VVF20" s="87"/>
      <c r="VVG20" s="87"/>
      <c r="VVH20" s="87"/>
      <c r="VVI20" s="87"/>
      <c r="VVJ20" s="87"/>
      <c r="VVK20" s="87"/>
      <c r="VVL20" s="87"/>
      <c r="VVM20" s="87"/>
      <c r="VVN20" s="87"/>
      <c r="VVO20" s="87"/>
      <c r="VVP20" s="87"/>
      <c r="VVQ20" s="87"/>
      <c r="VVR20" s="87"/>
      <c r="VVS20" s="87"/>
      <c r="VVT20" s="87"/>
      <c r="VVU20" s="87"/>
      <c r="VVV20" s="87"/>
      <c r="VVW20" s="87"/>
      <c r="VVX20" s="87"/>
      <c r="VVY20" s="87"/>
      <c r="VVZ20" s="87"/>
      <c r="VWA20" s="87"/>
      <c r="VWB20" s="87"/>
      <c r="VWC20" s="87"/>
      <c r="VWD20" s="87"/>
      <c r="VWE20" s="87"/>
      <c r="VWF20" s="87"/>
      <c r="VWG20" s="87"/>
      <c r="VWH20" s="87"/>
      <c r="VWI20" s="87"/>
      <c r="VWJ20" s="87"/>
      <c r="VWK20" s="87"/>
      <c r="VWL20" s="87"/>
      <c r="VWM20" s="87"/>
      <c r="VWN20" s="87"/>
      <c r="VWO20" s="87"/>
      <c r="VWP20" s="87"/>
      <c r="VWQ20" s="87"/>
      <c r="VWR20" s="87"/>
      <c r="VWS20" s="87"/>
      <c r="VWT20" s="87"/>
      <c r="VWU20" s="87"/>
      <c r="VWV20" s="87"/>
      <c r="VWW20" s="87"/>
      <c r="VWX20" s="87"/>
      <c r="VWY20" s="87"/>
      <c r="VWZ20" s="87"/>
      <c r="VXA20" s="87"/>
      <c r="VXB20" s="87"/>
      <c r="VXC20" s="87"/>
      <c r="VXD20" s="87"/>
      <c r="VXE20" s="87"/>
      <c r="VXF20" s="87"/>
      <c r="VXG20" s="87"/>
      <c r="VXH20" s="87"/>
      <c r="VXI20" s="87"/>
      <c r="VXJ20" s="87"/>
      <c r="VXK20" s="87"/>
      <c r="VXL20" s="87"/>
      <c r="VXM20" s="87"/>
      <c r="VXN20" s="87"/>
      <c r="VXO20" s="87"/>
      <c r="VXP20" s="87"/>
      <c r="VXQ20" s="87"/>
      <c r="VXR20" s="87"/>
      <c r="VXS20" s="87"/>
      <c r="VXT20" s="87"/>
      <c r="VXU20" s="87"/>
      <c r="VXV20" s="87"/>
      <c r="VXW20" s="87"/>
      <c r="VXX20" s="87"/>
      <c r="VXY20" s="87"/>
      <c r="VXZ20" s="87"/>
      <c r="VYA20" s="87"/>
      <c r="VYB20" s="87"/>
      <c r="VYC20" s="87"/>
      <c r="VYD20" s="87"/>
      <c r="VYE20" s="87"/>
      <c r="VYF20" s="87"/>
      <c r="VYG20" s="87"/>
      <c r="VYH20" s="87"/>
      <c r="VYI20" s="87"/>
      <c r="VYJ20" s="87"/>
      <c r="VYK20" s="87"/>
      <c r="VYL20" s="87"/>
      <c r="VYM20" s="87"/>
      <c r="VYN20" s="87"/>
      <c r="VYO20" s="87"/>
      <c r="VYP20" s="87"/>
      <c r="VYQ20" s="87"/>
      <c r="VYR20" s="87"/>
      <c r="VYS20" s="87"/>
      <c r="VYT20" s="87"/>
      <c r="VYU20" s="87"/>
      <c r="VYV20" s="87"/>
      <c r="VYW20" s="87"/>
      <c r="VYX20" s="87"/>
      <c r="VYY20" s="87"/>
      <c r="VYZ20" s="87"/>
      <c r="VZA20" s="87"/>
      <c r="VZB20" s="87"/>
      <c r="VZC20" s="87"/>
      <c r="VZD20" s="87"/>
      <c r="VZE20" s="87"/>
      <c r="VZF20" s="87"/>
      <c r="VZG20" s="87"/>
      <c r="VZH20" s="87"/>
      <c r="VZI20" s="87"/>
      <c r="VZJ20" s="87"/>
      <c r="VZK20" s="87"/>
      <c r="VZL20" s="87"/>
      <c r="VZM20" s="87"/>
      <c r="VZN20" s="87"/>
      <c r="VZO20" s="87"/>
      <c r="VZP20" s="87"/>
      <c r="VZQ20" s="87"/>
      <c r="VZR20" s="87"/>
      <c r="VZS20" s="87"/>
      <c r="VZT20" s="87"/>
      <c r="VZU20" s="87"/>
      <c r="VZV20" s="87"/>
      <c r="VZW20" s="87"/>
      <c r="VZX20" s="87"/>
      <c r="VZY20" s="87"/>
      <c r="VZZ20" s="87"/>
      <c r="WAA20" s="87"/>
      <c r="WAB20" s="87"/>
      <c r="WAC20" s="87"/>
      <c r="WAD20" s="87"/>
      <c r="WAE20" s="87"/>
      <c r="WAF20" s="87"/>
      <c r="WAG20" s="87"/>
      <c r="WAH20" s="87"/>
      <c r="WAI20" s="87"/>
      <c r="WAJ20" s="87"/>
      <c r="WAK20" s="87"/>
      <c r="WAL20" s="87"/>
      <c r="WAM20" s="87"/>
      <c r="WAN20" s="87"/>
      <c r="WAO20" s="87"/>
      <c r="WAP20" s="87"/>
      <c r="WAQ20" s="87"/>
      <c r="WAR20" s="87"/>
      <c r="WAS20" s="87"/>
      <c r="WAT20" s="87"/>
      <c r="WAU20" s="87"/>
      <c r="WAV20" s="87"/>
      <c r="WAW20" s="87"/>
      <c r="WAX20" s="87"/>
      <c r="WAY20" s="87"/>
      <c r="WAZ20" s="87"/>
      <c r="WBA20" s="87"/>
      <c r="WBB20" s="87"/>
      <c r="WBC20" s="87"/>
      <c r="WBD20" s="87"/>
      <c r="WBE20" s="87"/>
      <c r="WBF20" s="87"/>
      <c r="WBG20" s="87"/>
      <c r="WBH20" s="87"/>
      <c r="WBI20" s="87"/>
      <c r="WBJ20" s="87"/>
      <c r="WBK20" s="87"/>
      <c r="WBL20" s="87"/>
      <c r="WBM20" s="87"/>
      <c r="WBN20" s="87"/>
      <c r="WBO20" s="87"/>
      <c r="WBP20" s="87"/>
      <c r="WBQ20" s="87"/>
      <c r="WBR20" s="87"/>
      <c r="WBS20" s="87"/>
      <c r="WBT20" s="87"/>
      <c r="WBU20" s="87"/>
      <c r="WBV20" s="87"/>
      <c r="WBW20" s="87"/>
      <c r="WBX20" s="87"/>
      <c r="WBY20" s="87"/>
      <c r="WBZ20" s="87"/>
      <c r="WCA20" s="87"/>
      <c r="WCB20" s="87"/>
      <c r="WCC20" s="87"/>
      <c r="WCD20" s="87"/>
      <c r="WCE20" s="87"/>
      <c r="WCF20" s="87"/>
      <c r="WCG20" s="87"/>
      <c r="WCH20" s="87"/>
      <c r="WCI20" s="87"/>
      <c r="WCJ20" s="87"/>
      <c r="WCK20" s="87"/>
      <c r="WCL20" s="87"/>
      <c r="WCM20" s="87"/>
      <c r="WCN20" s="87"/>
      <c r="WCO20" s="87"/>
      <c r="WCP20" s="87"/>
      <c r="WCQ20" s="87"/>
      <c r="WCR20" s="87"/>
      <c r="WCS20" s="87"/>
      <c r="WCT20" s="87"/>
      <c r="WCU20" s="87"/>
      <c r="WCV20" s="87"/>
      <c r="WCW20" s="87"/>
      <c r="WCX20" s="87"/>
      <c r="WCY20" s="87"/>
      <c r="WCZ20" s="87"/>
      <c r="WDA20" s="87"/>
      <c r="WDB20" s="87"/>
      <c r="WDC20" s="87"/>
      <c r="WDD20" s="87"/>
      <c r="WDE20" s="87"/>
      <c r="WDF20" s="87"/>
      <c r="WDG20" s="87"/>
      <c r="WDH20" s="87"/>
      <c r="WDI20" s="87"/>
      <c r="WDJ20" s="87"/>
      <c r="WDK20" s="87"/>
      <c r="WDL20" s="87"/>
      <c r="WDM20" s="87"/>
      <c r="WDN20" s="87"/>
      <c r="WDO20" s="87"/>
      <c r="WDP20" s="87"/>
      <c r="WDQ20" s="87"/>
      <c r="WDR20" s="87"/>
      <c r="WDS20" s="87"/>
      <c r="WDT20" s="87"/>
      <c r="WDU20" s="87"/>
      <c r="WDV20" s="87"/>
      <c r="WDW20" s="87"/>
      <c r="WDX20" s="87"/>
      <c r="WDY20" s="87"/>
      <c r="WDZ20" s="87"/>
      <c r="WEA20" s="87"/>
      <c r="WEB20" s="87"/>
      <c r="WEC20" s="87"/>
      <c r="WED20" s="87"/>
      <c r="WEE20" s="87"/>
      <c r="WEF20" s="87"/>
      <c r="WEG20" s="87"/>
      <c r="WEH20" s="87"/>
      <c r="WEI20" s="87"/>
      <c r="WEJ20" s="87"/>
      <c r="WEK20" s="87"/>
      <c r="WEL20" s="87"/>
      <c r="WEM20" s="87"/>
      <c r="WEN20" s="87"/>
      <c r="WEO20" s="87"/>
      <c r="WEP20" s="87"/>
      <c r="WEQ20" s="87"/>
      <c r="WER20" s="87"/>
      <c r="WES20" s="87"/>
      <c r="WET20" s="87"/>
      <c r="WEU20" s="87"/>
      <c r="WEV20" s="87"/>
      <c r="WEW20" s="87"/>
      <c r="WEX20" s="87"/>
      <c r="WEY20" s="87"/>
      <c r="WEZ20" s="87"/>
      <c r="WFA20" s="87"/>
      <c r="WFB20" s="87"/>
      <c r="WFC20" s="87"/>
      <c r="WFD20" s="87"/>
      <c r="WFE20" s="87"/>
      <c r="WFF20" s="87"/>
      <c r="WFG20" s="87"/>
      <c r="WFH20" s="87"/>
      <c r="WFI20" s="87"/>
      <c r="WFJ20" s="87"/>
      <c r="WFK20" s="87"/>
      <c r="WFL20" s="87"/>
      <c r="WFM20" s="87"/>
      <c r="WFN20" s="87"/>
      <c r="WFO20" s="87"/>
      <c r="WFP20" s="87"/>
      <c r="WFQ20" s="87"/>
      <c r="WFR20" s="87"/>
      <c r="WFS20" s="87"/>
      <c r="WFT20" s="87"/>
      <c r="WFU20" s="87"/>
      <c r="WFV20" s="87"/>
      <c r="WFW20" s="87"/>
      <c r="WFX20" s="87"/>
      <c r="WFY20" s="87"/>
      <c r="WFZ20" s="87"/>
      <c r="WGA20" s="87"/>
      <c r="WGB20" s="87"/>
      <c r="WGC20" s="87"/>
      <c r="WGD20" s="87"/>
      <c r="WGE20" s="87"/>
      <c r="WGF20" s="87"/>
      <c r="WGG20" s="87"/>
      <c r="WGH20" s="87"/>
      <c r="WGI20" s="87"/>
      <c r="WGJ20" s="87"/>
      <c r="WGK20" s="87"/>
      <c r="WGL20" s="87"/>
      <c r="WGM20" s="87"/>
      <c r="WGN20" s="87"/>
      <c r="WGO20" s="87"/>
      <c r="WGP20" s="87"/>
      <c r="WGQ20" s="87"/>
      <c r="WGR20" s="87"/>
      <c r="WGS20" s="87"/>
      <c r="WGT20" s="87"/>
      <c r="WGU20" s="87"/>
      <c r="WGV20" s="87"/>
      <c r="WGW20" s="87"/>
      <c r="WGX20" s="87"/>
      <c r="WGY20" s="87"/>
      <c r="WGZ20" s="87"/>
      <c r="WHA20" s="87"/>
      <c r="WHB20" s="87"/>
      <c r="WHC20" s="87"/>
      <c r="WHD20" s="87"/>
      <c r="WHE20" s="87"/>
      <c r="WHF20" s="87"/>
      <c r="WHG20" s="87"/>
      <c r="WHH20" s="87"/>
      <c r="WHI20" s="87"/>
      <c r="WHJ20" s="87"/>
      <c r="WHK20" s="87"/>
      <c r="WHL20" s="87"/>
      <c r="WHM20" s="87"/>
      <c r="WHN20" s="87"/>
      <c r="WHO20" s="87"/>
      <c r="WHP20" s="87"/>
      <c r="WHQ20" s="87"/>
      <c r="WHR20" s="87"/>
      <c r="WHS20" s="87"/>
      <c r="WHT20" s="87"/>
      <c r="WHU20" s="87"/>
      <c r="WHV20" s="87"/>
      <c r="WHW20" s="87"/>
      <c r="WHX20" s="87"/>
      <c r="WHY20" s="87"/>
      <c r="WHZ20" s="87"/>
      <c r="WIA20" s="87"/>
      <c r="WIB20" s="87"/>
      <c r="WIC20" s="87"/>
      <c r="WID20" s="87"/>
      <c r="WIE20" s="87"/>
      <c r="WIF20" s="87"/>
      <c r="WIG20" s="87"/>
      <c r="WIH20" s="87"/>
      <c r="WII20" s="87"/>
      <c r="WIJ20" s="87"/>
      <c r="WIK20" s="87"/>
      <c r="WIL20" s="87"/>
      <c r="WIM20" s="87"/>
      <c r="WIN20" s="87"/>
      <c r="WIO20" s="87"/>
      <c r="WIP20" s="87"/>
      <c r="WIQ20" s="87"/>
      <c r="WIR20" s="87"/>
      <c r="WIS20" s="87"/>
      <c r="WIT20" s="87"/>
      <c r="WIU20" s="87"/>
      <c r="WIV20" s="87"/>
      <c r="WIW20" s="87"/>
      <c r="WIX20" s="87"/>
      <c r="WIY20" s="87"/>
      <c r="WIZ20" s="87"/>
      <c r="WJA20" s="87"/>
      <c r="WJB20" s="87"/>
      <c r="WJC20" s="87"/>
      <c r="WJD20" s="87"/>
      <c r="WJE20" s="87"/>
      <c r="WJF20" s="87"/>
      <c r="WJG20" s="87"/>
      <c r="WJH20" s="87"/>
      <c r="WJI20" s="87"/>
      <c r="WJJ20" s="87"/>
      <c r="WJK20" s="87"/>
      <c r="WJL20" s="87"/>
      <c r="WJM20" s="87"/>
      <c r="WJN20" s="87"/>
      <c r="WJO20" s="87"/>
      <c r="WJP20" s="87"/>
      <c r="WJQ20" s="87"/>
      <c r="WJR20" s="87"/>
      <c r="WJS20" s="87"/>
      <c r="WJT20" s="87"/>
      <c r="WJU20" s="87"/>
      <c r="WJV20" s="87"/>
      <c r="WJW20" s="87"/>
      <c r="WJX20" s="87"/>
      <c r="WJY20" s="87"/>
      <c r="WJZ20" s="87"/>
      <c r="WKA20" s="87"/>
      <c r="WKB20" s="87"/>
      <c r="WKC20" s="87"/>
      <c r="WKD20" s="87"/>
      <c r="WKE20" s="87"/>
      <c r="WKF20" s="87"/>
      <c r="WKG20" s="87"/>
      <c r="WKH20" s="87"/>
      <c r="WKI20" s="87"/>
      <c r="WKJ20" s="87"/>
      <c r="WKK20" s="87"/>
      <c r="WKL20" s="87"/>
      <c r="WKM20" s="87"/>
      <c r="WKN20" s="87"/>
      <c r="WKO20" s="87"/>
      <c r="WKP20" s="87"/>
      <c r="WKQ20" s="87"/>
      <c r="WKR20" s="87"/>
      <c r="WKS20" s="87"/>
      <c r="WKT20" s="87"/>
      <c r="WKU20" s="87"/>
      <c r="WKV20" s="87"/>
      <c r="WKW20" s="87"/>
      <c r="WKX20" s="87"/>
      <c r="WKY20" s="87"/>
      <c r="WKZ20" s="87"/>
      <c r="WLA20" s="87"/>
      <c r="WLB20" s="87"/>
      <c r="WLC20" s="87"/>
      <c r="WLD20" s="87"/>
      <c r="WLE20" s="87"/>
      <c r="WLF20" s="87"/>
      <c r="WLG20" s="87"/>
      <c r="WLH20" s="87"/>
      <c r="WLI20" s="87"/>
      <c r="WLJ20" s="87"/>
      <c r="WLK20" s="87"/>
      <c r="WLL20" s="87"/>
      <c r="WLM20" s="87"/>
      <c r="WLN20" s="87"/>
      <c r="WLO20" s="87"/>
      <c r="WLP20" s="87"/>
      <c r="WLQ20" s="87"/>
      <c r="WLR20" s="87"/>
      <c r="WLS20" s="87"/>
      <c r="WLT20" s="87"/>
      <c r="WLU20" s="87"/>
      <c r="WLV20" s="87"/>
      <c r="WLW20" s="87"/>
      <c r="WLX20" s="87"/>
      <c r="WLY20" s="87"/>
      <c r="WLZ20" s="87"/>
      <c r="WMA20" s="87"/>
      <c r="WMB20" s="87"/>
      <c r="WMC20" s="87"/>
      <c r="WMD20" s="87"/>
      <c r="WME20" s="87"/>
      <c r="WMF20" s="87"/>
      <c r="WMG20" s="87"/>
      <c r="WMH20" s="87"/>
      <c r="WMI20" s="87"/>
      <c r="WMJ20" s="87"/>
      <c r="WMK20" s="87"/>
      <c r="WML20" s="87"/>
      <c r="WMM20" s="87"/>
      <c r="WMN20" s="87"/>
      <c r="WMO20" s="87"/>
      <c r="WMP20" s="87"/>
      <c r="WMQ20" s="87"/>
      <c r="WMR20" s="87"/>
      <c r="WMS20" s="87"/>
      <c r="WMT20" s="87"/>
      <c r="WMU20" s="87"/>
      <c r="WMV20" s="87"/>
      <c r="WMW20" s="87"/>
      <c r="WMX20" s="87"/>
      <c r="WMY20" s="87"/>
      <c r="WMZ20" s="87"/>
      <c r="WNA20" s="87"/>
      <c r="WNB20" s="87"/>
      <c r="WNC20" s="87"/>
      <c r="WND20" s="87"/>
      <c r="WNE20" s="87"/>
      <c r="WNF20" s="87"/>
      <c r="WNG20" s="87"/>
      <c r="WNH20" s="87"/>
      <c r="WNI20" s="87"/>
      <c r="WNJ20" s="87"/>
      <c r="WNK20" s="87"/>
      <c r="WNL20" s="87"/>
      <c r="WNM20" s="87"/>
      <c r="WNN20" s="87"/>
      <c r="WNO20" s="87"/>
      <c r="WNP20" s="87"/>
      <c r="WNQ20" s="87"/>
      <c r="WNR20" s="87"/>
      <c r="WNS20" s="87"/>
      <c r="WNT20" s="87"/>
      <c r="WNU20" s="87"/>
      <c r="WNV20" s="87"/>
      <c r="WNW20" s="87"/>
      <c r="WNX20" s="87"/>
      <c r="WNY20" s="87"/>
      <c r="WNZ20" s="87"/>
      <c r="WOA20" s="87"/>
      <c r="WOB20" s="87"/>
      <c r="WOC20" s="87"/>
      <c r="WOD20" s="87"/>
      <c r="WOE20" s="87"/>
      <c r="WOF20" s="87"/>
      <c r="WOG20" s="87"/>
      <c r="WOH20" s="87"/>
      <c r="WOI20" s="87"/>
      <c r="WOJ20" s="87"/>
      <c r="WOK20" s="87"/>
      <c r="WOL20" s="87"/>
      <c r="WOM20" s="87"/>
      <c r="WON20" s="87"/>
      <c r="WOO20" s="87"/>
      <c r="WOP20" s="87"/>
      <c r="WOQ20" s="87"/>
      <c r="WOR20" s="87"/>
      <c r="WOS20" s="87"/>
      <c r="WOT20" s="87"/>
      <c r="WOU20" s="87"/>
      <c r="WOV20" s="87"/>
      <c r="WOW20" s="87"/>
      <c r="WOX20" s="87"/>
      <c r="WOY20" s="87"/>
      <c r="WOZ20" s="87"/>
      <c r="WPA20" s="87"/>
      <c r="WPB20" s="87"/>
      <c r="WPC20" s="87"/>
      <c r="WPD20" s="87"/>
      <c r="WPE20" s="87"/>
      <c r="WPF20" s="87"/>
      <c r="WPG20" s="87"/>
      <c r="WPH20" s="87"/>
      <c r="WPI20" s="87"/>
      <c r="WPJ20" s="87"/>
      <c r="WPK20" s="87"/>
      <c r="WPL20" s="87"/>
      <c r="WPM20" s="87"/>
      <c r="WPN20" s="87"/>
      <c r="WPO20" s="87"/>
      <c r="WPP20" s="87"/>
      <c r="WPQ20" s="87"/>
      <c r="WPR20" s="87"/>
      <c r="WPS20" s="87"/>
      <c r="WPT20" s="87"/>
      <c r="WPU20" s="87"/>
      <c r="WPV20" s="87"/>
      <c r="WPW20" s="87"/>
      <c r="WPX20" s="87"/>
      <c r="WPY20" s="87"/>
      <c r="WPZ20" s="87"/>
      <c r="WQA20" s="87"/>
      <c r="WQB20" s="87"/>
      <c r="WQC20" s="87"/>
      <c r="WQD20" s="87"/>
      <c r="WQE20" s="87"/>
      <c r="WQF20" s="87"/>
      <c r="WQG20" s="87"/>
      <c r="WQH20" s="87"/>
      <c r="WQI20" s="87"/>
      <c r="WQJ20" s="87"/>
      <c r="WQK20" s="87"/>
      <c r="WQL20" s="87"/>
      <c r="WQM20" s="87"/>
      <c r="WQN20" s="87"/>
      <c r="WQO20" s="87"/>
      <c r="WQP20" s="87"/>
      <c r="WQQ20" s="87"/>
      <c r="WQR20" s="87"/>
      <c r="WQS20" s="87"/>
      <c r="WQT20" s="87"/>
      <c r="WQU20" s="87"/>
      <c r="WQV20" s="87"/>
      <c r="WQW20" s="87"/>
      <c r="WQX20" s="87"/>
      <c r="WQY20" s="87"/>
      <c r="WQZ20" s="87"/>
      <c r="WRA20" s="87"/>
      <c r="WRB20" s="87"/>
      <c r="WRC20" s="87"/>
      <c r="WRD20" s="87"/>
      <c r="WRE20" s="87"/>
      <c r="WRF20" s="87"/>
      <c r="WRG20" s="87"/>
      <c r="WRH20" s="87"/>
      <c r="WRI20" s="87"/>
      <c r="WRJ20" s="87"/>
      <c r="WRK20" s="87"/>
      <c r="WRL20" s="87"/>
      <c r="WRM20" s="87"/>
      <c r="WRN20" s="87"/>
      <c r="WRO20" s="87"/>
      <c r="WRP20" s="87"/>
      <c r="WRQ20" s="87"/>
      <c r="WRR20" s="87"/>
      <c r="WRS20" s="87"/>
      <c r="WRT20" s="87"/>
      <c r="WRU20" s="87"/>
      <c r="WRV20" s="87"/>
      <c r="WRW20" s="87"/>
      <c r="WRX20" s="87"/>
      <c r="WRY20" s="87"/>
      <c r="WRZ20" s="87"/>
      <c r="WSA20" s="87"/>
      <c r="WSB20" s="87"/>
      <c r="WSC20" s="87"/>
      <c r="WSD20" s="87"/>
      <c r="WSE20" s="87"/>
      <c r="WSF20" s="87"/>
      <c r="WSG20" s="87"/>
      <c r="WSH20" s="87"/>
      <c r="WSI20" s="87"/>
      <c r="WSJ20" s="87"/>
      <c r="WSK20" s="87"/>
      <c r="WSL20" s="87"/>
      <c r="WSM20" s="87"/>
      <c r="WSN20" s="87"/>
      <c r="WSO20" s="87"/>
      <c r="WSP20" s="87"/>
      <c r="WSQ20" s="87"/>
      <c r="WSR20" s="87"/>
      <c r="WSS20" s="87"/>
      <c r="WST20" s="87"/>
      <c r="WSU20" s="87"/>
      <c r="WSV20" s="87"/>
      <c r="WSW20" s="87"/>
      <c r="WSX20" s="87"/>
      <c r="WSY20" s="87"/>
      <c r="WSZ20" s="87"/>
      <c r="WTA20" s="87"/>
      <c r="WTB20" s="87"/>
      <c r="WTC20" s="87"/>
      <c r="WTD20" s="87"/>
      <c r="WTE20" s="87"/>
      <c r="WTF20" s="87"/>
      <c r="WTG20" s="87"/>
      <c r="WTH20" s="87"/>
      <c r="WTI20" s="87"/>
      <c r="WTJ20" s="87"/>
      <c r="WTK20" s="87"/>
      <c r="WTL20" s="87"/>
      <c r="WTM20" s="87"/>
      <c r="WTN20" s="87"/>
      <c r="WTO20" s="87"/>
      <c r="WTP20" s="87"/>
      <c r="WTQ20" s="87"/>
      <c r="WTR20" s="87"/>
      <c r="WTS20" s="87"/>
      <c r="WTT20" s="87"/>
      <c r="WTU20" s="87"/>
      <c r="WTV20" s="87"/>
      <c r="WTW20" s="87"/>
      <c r="WTX20" s="87"/>
      <c r="WTY20" s="87"/>
      <c r="WTZ20" s="87"/>
      <c r="WUA20" s="87"/>
      <c r="WUB20" s="87"/>
      <c r="WUC20" s="87"/>
      <c r="WUD20" s="87"/>
      <c r="WUE20" s="87"/>
      <c r="WUF20" s="87"/>
      <c r="WUG20" s="87"/>
      <c r="WUH20" s="87"/>
      <c r="WUI20" s="87"/>
      <c r="WUJ20" s="87"/>
      <c r="WUK20" s="87"/>
      <c r="WUL20" s="87"/>
      <c r="WUM20" s="87"/>
      <c r="WUN20" s="87"/>
      <c r="WUO20" s="87"/>
      <c r="WUP20" s="87"/>
      <c r="WUQ20" s="87"/>
      <c r="WUR20" s="87"/>
      <c r="WUS20" s="87"/>
      <c r="WUT20" s="87"/>
      <c r="WUU20" s="87"/>
      <c r="WUV20" s="87"/>
      <c r="WUW20" s="87"/>
      <c r="WUX20" s="87"/>
      <c r="WUY20" s="87"/>
      <c r="WUZ20" s="87"/>
      <c r="WVA20" s="87"/>
      <c r="WVB20" s="87"/>
      <c r="WVC20" s="87"/>
      <c r="WVD20" s="87"/>
      <c r="WVE20" s="87"/>
      <c r="WVF20" s="87"/>
      <c r="WVG20" s="87"/>
      <c r="WVH20" s="87"/>
      <c r="WVI20" s="87"/>
      <c r="WVJ20" s="87"/>
      <c r="WVK20" s="87"/>
      <c r="WVL20" s="87"/>
      <c r="WVM20" s="87"/>
      <c r="WVN20" s="87"/>
      <c r="WVO20" s="87"/>
      <c r="WVP20" s="87"/>
      <c r="WVQ20" s="87"/>
      <c r="WVR20" s="87"/>
      <c r="WVS20" s="87"/>
      <c r="WVT20" s="87"/>
      <c r="WVU20" s="87"/>
      <c r="WVV20" s="87"/>
      <c r="WVW20" s="87"/>
      <c r="WVX20" s="87"/>
      <c r="WVY20" s="87"/>
      <c r="WVZ20" s="87"/>
      <c r="WWA20" s="87"/>
      <c r="WWB20" s="87"/>
      <c r="WWC20" s="87"/>
      <c r="WWD20" s="87"/>
      <c r="WWE20" s="87"/>
      <c r="WWF20" s="87"/>
      <c r="WWG20" s="87"/>
      <c r="WWH20" s="87"/>
      <c r="WWI20" s="87"/>
      <c r="WWJ20" s="87"/>
      <c r="WWK20" s="87"/>
      <c r="WWL20" s="87"/>
      <c r="WWM20" s="87"/>
      <c r="WWN20" s="87"/>
      <c r="WWO20" s="87"/>
      <c r="WWP20" s="87"/>
      <c r="WWQ20" s="87"/>
      <c r="WWR20" s="87"/>
      <c r="WWS20" s="87"/>
      <c r="WWT20" s="87"/>
      <c r="WWU20" s="87"/>
      <c r="WWV20" s="87"/>
      <c r="WWW20" s="87"/>
      <c r="WWX20" s="87"/>
      <c r="WWY20" s="87"/>
      <c r="WWZ20" s="87"/>
      <c r="WXA20" s="87"/>
      <c r="WXB20" s="87"/>
      <c r="WXC20" s="87"/>
      <c r="WXD20" s="87"/>
      <c r="WXE20" s="87"/>
      <c r="WXF20" s="87"/>
      <c r="WXG20" s="87"/>
      <c r="WXH20" s="87"/>
      <c r="WXI20" s="87"/>
      <c r="WXJ20" s="87"/>
      <c r="WXK20" s="87"/>
      <c r="WXL20" s="87"/>
      <c r="WXM20" s="87"/>
      <c r="WXN20" s="87"/>
      <c r="WXO20" s="87"/>
      <c r="WXP20" s="87"/>
      <c r="WXQ20" s="87"/>
      <c r="WXR20" s="87"/>
      <c r="WXS20" s="87"/>
      <c r="WXT20" s="87"/>
      <c r="WXU20" s="87"/>
      <c r="WXV20" s="87"/>
      <c r="WXW20" s="87"/>
      <c r="WXX20" s="87"/>
      <c r="WXY20" s="87"/>
      <c r="WXZ20" s="87"/>
      <c r="WYA20" s="87"/>
      <c r="WYB20" s="87"/>
      <c r="WYC20" s="87"/>
      <c r="WYD20" s="87"/>
      <c r="WYE20" s="87"/>
      <c r="WYF20" s="87"/>
      <c r="WYG20" s="87"/>
      <c r="WYH20" s="87"/>
      <c r="WYI20" s="87"/>
      <c r="WYJ20" s="87"/>
      <c r="WYK20" s="87"/>
      <c r="WYL20" s="87"/>
      <c r="WYM20" s="87"/>
      <c r="WYN20" s="87"/>
      <c r="WYO20" s="87"/>
      <c r="WYP20" s="87"/>
      <c r="WYQ20" s="87"/>
      <c r="WYR20" s="87"/>
      <c r="WYS20" s="87"/>
      <c r="WYT20" s="87"/>
      <c r="WYU20" s="87"/>
      <c r="WYV20" s="87"/>
      <c r="WYW20" s="87"/>
      <c r="WYX20" s="87"/>
      <c r="WYY20" s="87"/>
      <c r="WYZ20" s="87"/>
      <c r="WZA20" s="87"/>
      <c r="WZB20" s="87"/>
      <c r="WZC20" s="87"/>
      <c r="WZD20" s="87"/>
      <c r="WZE20" s="87"/>
      <c r="WZF20" s="87"/>
      <c r="WZG20" s="87"/>
      <c r="WZH20" s="87"/>
      <c r="WZI20" s="87"/>
      <c r="WZJ20" s="87"/>
      <c r="WZK20" s="87"/>
      <c r="WZL20" s="87"/>
      <c r="WZM20" s="87"/>
      <c r="WZN20" s="87"/>
      <c r="WZO20" s="87"/>
      <c r="WZP20" s="87"/>
      <c r="WZQ20" s="87"/>
      <c r="WZR20" s="87"/>
      <c r="WZS20" s="87"/>
      <c r="WZT20" s="87"/>
      <c r="WZU20" s="87"/>
      <c r="WZV20" s="87"/>
      <c r="WZW20" s="87"/>
      <c r="WZX20" s="87"/>
      <c r="WZY20" s="87"/>
      <c r="WZZ20" s="87"/>
      <c r="XAA20" s="87"/>
      <c r="XAB20" s="87"/>
      <c r="XAC20" s="87"/>
      <c r="XAD20" s="87"/>
      <c r="XAE20" s="87"/>
      <c r="XAF20" s="87"/>
      <c r="XAG20" s="87"/>
      <c r="XAH20" s="87"/>
      <c r="XAI20" s="87"/>
      <c r="XAJ20" s="87"/>
      <c r="XAK20" s="87"/>
      <c r="XAL20" s="87"/>
      <c r="XAM20" s="87"/>
      <c r="XAN20" s="87"/>
      <c r="XAO20" s="87"/>
      <c r="XAP20" s="87"/>
      <c r="XAQ20" s="87"/>
      <c r="XAR20" s="87"/>
      <c r="XAS20" s="87"/>
      <c r="XAT20" s="87"/>
      <c r="XAU20" s="87"/>
      <c r="XAV20" s="87"/>
      <c r="XAW20" s="87"/>
      <c r="XAX20" s="87"/>
      <c r="XAY20" s="87"/>
      <c r="XAZ20" s="87"/>
      <c r="XBA20" s="87"/>
      <c r="XBB20" s="87"/>
      <c r="XBC20" s="87"/>
      <c r="XBD20" s="87"/>
      <c r="XBE20" s="87"/>
      <c r="XBF20" s="87"/>
      <c r="XBG20" s="87"/>
      <c r="XBH20" s="87"/>
      <c r="XBI20" s="87"/>
      <c r="XBJ20" s="87"/>
      <c r="XBK20" s="87"/>
      <c r="XBL20" s="87"/>
      <c r="XBM20" s="87"/>
      <c r="XBN20" s="87"/>
      <c r="XBO20" s="87"/>
      <c r="XBP20" s="87"/>
      <c r="XBQ20" s="87"/>
      <c r="XBR20" s="87"/>
      <c r="XBS20" s="87"/>
      <c r="XBT20" s="87"/>
      <c r="XBU20" s="87"/>
      <c r="XBV20" s="87"/>
      <c r="XBW20" s="87"/>
      <c r="XBX20" s="87"/>
      <c r="XBY20" s="87"/>
      <c r="XBZ20" s="87"/>
      <c r="XCA20" s="87"/>
      <c r="XCB20" s="87"/>
      <c r="XCC20" s="87"/>
      <c r="XCD20" s="87"/>
      <c r="XCE20" s="87"/>
      <c r="XCF20" s="87"/>
      <c r="XCG20" s="87"/>
      <c r="XCH20" s="87"/>
      <c r="XCI20" s="87"/>
      <c r="XCJ20" s="87"/>
      <c r="XCK20" s="87"/>
      <c r="XCL20" s="87"/>
      <c r="XCM20" s="87"/>
      <c r="XCN20" s="87"/>
      <c r="XCO20" s="87"/>
      <c r="XCP20" s="87"/>
      <c r="XCQ20" s="87"/>
      <c r="XCR20" s="87"/>
      <c r="XCS20" s="87"/>
      <c r="XCT20" s="87"/>
      <c r="XCU20" s="87"/>
      <c r="XCV20" s="87"/>
      <c r="XCW20" s="87"/>
      <c r="XCX20" s="87"/>
      <c r="XCY20" s="87"/>
      <c r="XCZ20" s="87"/>
      <c r="XDA20" s="87"/>
      <c r="XDB20" s="87"/>
      <c r="XDC20" s="87"/>
      <c r="XDD20" s="87"/>
      <c r="XDE20" s="87"/>
      <c r="XDF20" s="87"/>
      <c r="XDG20" s="87"/>
      <c r="XDH20" s="87"/>
      <c r="XDI20" s="87"/>
      <c r="XDJ20" s="87"/>
      <c r="XDK20" s="87"/>
      <c r="XDL20" s="87"/>
      <c r="XDM20" s="87"/>
      <c r="XDN20" s="87"/>
      <c r="XDO20" s="87"/>
      <c r="XDP20" s="87"/>
      <c r="XDQ20" s="87"/>
      <c r="XDR20" s="87"/>
      <c r="XDS20" s="87"/>
      <c r="XDT20" s="87"/>
      <c r="XDU20" s="87"/>
      <c r="XDV20" s="87"/>
      <c r="XDW20" s="87"/>
      <c r="XDX20" s="87"/>
      <c r="XDY20" s="87"/>
      <c r="XDZ20" s="87"/>
      <c r="XEA20" s="87"/>
      <c r="XEB20" s="87"/>
      <c r="XEC20" s="87"/>
      <c r="XED20" s="87"/>
      <c r="XEE20" s="87"/>
      <c r="XEF20" s="87"/>
      <c r="XEG20" s="87"/>
      <c r="XEH20" s="87"/>
      <c r="XEI20" s="87"/>
      <c r="XEJ20" s="87"/>
      <c r="XEK20" s="87"/>
      <c r="XEL20" s="87"/>
      <c r="XEM20" s="87"/>
      <c r="XEN20" s="87"/>
      <c r="XEO20" s="87"/>
      <c r="XEP20" s="87"/>
      <c r="XEQ20" s="87"/>
      <c r="XER20" s="87"/>
      <c r="XES20" s="87"/>
      <c r="XET20" s="87"/>
      <c r="XEU20" s="87"/>
      <c r="XEV20" s="87"/>
      <c r="XEW20" s="87"/>
      <c r="XEX20" s="87"/>
      <c r="XEY20" s="87"/>
      <c r="XEZ20" s="87"/>
      <c r="XFA20" s="87"/>
      <c r="XFB20" s="87"/>
      <c r="XFC20" s="87"/>
      <c r="XFD20" s="87"/>
    </row>
    <row r="21" spans="1:16384">
      <c r="A21" s="10" t="s">
        <v>170</v>
      </c>
      <c r="B21" s="8">
        <f>VLOOKUP($B$3,대학별탐구변환표준점수!AB:AD,2,FALSE)</f>
        <v>58.75</v>
      </c>
      <c r="C21" s="8">
        <f>VLOOKUP($C$3,대학별탐구변환표준점수!$AB:$AD,2,FALSE)</f>
        <v>65.849999999999994</v>
      </c>
      <c r="D21" s="8">
        <f>VLOOKUP($D$3,대학별탐구변환표준점수!$AB:$AD,3,FALSE)</f>
        <v>29.62</v>
      </c>
      <c r="E21" t="s">
        <v>171</v>
      </c>
    </row>
    <row r="22" spans="1:16384">
      <c r="A22" s="10" t="s">
        <v>174</v>
      </c>
      <c r="B22" s="8">
        <f>VLOOKUP($B$3,대학별탐구변환표준점수!AE:AG,2,FALSE)</f>
        <v>58.76</v>
      </c>
      <c r="C22" s="8">
        <f>VLOOKUP($C$3,대학별탐구변환표준점수!AE:AG,2,FALSE)</f>
        <v>66.349999999999994</v>
      </c>
      <c r="D22" s="8">
        <f>VLOOKUP($D$3,대학별탐구변환표준점수!AE:AG,3,FALSE)</f>
        <v>33.56</v>
      </c>
      <c r="E22" s="8" t="s">
        <v>171</v>
      </c>
    </row>
    <row r="23" spans="1:16384">
      <c r="A23" s="10" t="s">
        <v>183</v>
      </c>
      <c r="B23" s="8">
        <f>B2</f>
        <v>60</v>
      </c>
      <c r="C23" s="8">
        <f>C2</f>
        <v>66</v>
      </c>
      <c r="D23" s="8">
        <v>0</v>
      </c>
      <c r="E23" t="s">
        <v>184</v>
      </c>
    </row>
    <row r="24" spans="1:16384">
      <c r="A24" s="10"/>
      <c r="B24" s="8"/>
      <c r="C24" s="8"/>
    </row>
    <row r="25" spans="1:16384">
      <c r="A25" s="10"/>
      <c r="B25" s="8"/>
      <c r="C25" s="8"/>
    </row>
    <row r="26" spans="1:16384">
      <c r="A26" s="10"/>
      <c r="B26" s="8"/>
      <c r="C26" s="8"/>
    </row>
    <row r="27" spans="1:16384">
      <c r="A27" s="10"/>
      <c r="B27" s="8"/>
      <c r="C27" s="8"/>
    </row>
    <row r="28" spans="1:16384">
      <c r="A28" s="10"/>
      <c r="B28" s="8"/>
      <c r="C28" s="8"/>
    </row>
  </sheetData>
  <sheetProtection algorithmName="SHA-512" hashValue="vgFQGyxHwR+KjHqJ/ALtZEnrlVi5VC5se/cSianSa0QJlfJ+vULU1Db2Ph5HlBiT53QG2H6EYvOt1ci4mGh6sQ==" saltValue="hb4TcLHe0RrBa29DJbYqXg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5"/>
  <sheetViews>
    <sheetView workbookViewId="0">
      <selection activeCell="A47" sqref="A42:B47"/>
    </sheetView>
  </sheetViews>
  <sheetFormatPr defaultRowHeight="16.5"/>
  <cols>
    <col min="1" max="1" width="9" style="233"/>
    <col min="2" max="2" width="9" style="8"/>
  </cols>
  <sheetData>
    <row r="1" spans="1:3" ht="23.25" thickBot="1">
      <c r="A1" s="230" t="s">
        <v>64</v>
      </c>
      <c r="B1" s="15" t="s">
        <v>61</v>
      </c>
    </row>
    <row r="2" spans="1:3" ht="17.25" thickBot="1">
      <c r="A2" s="231">
        <v>389.16</v>
      </c>
      <c r="B2" s="236">
        <v>3.9750000000000001E-2</v>
      </c>
      <c r="C2" s="233"/>
    </row>
    <row r="3" spans="1:3" ht="17.25" thickBot="1">
      <c r="A3" s="231">
        <v>389.22</v>
      </c>
      <c r="B3" s="236">
        <v>3.9120000000000002E-2</v>
      </c>
      <c r="C3" s="233"/>
    </row>
    <row r="4" spans="1:3" ht="17.25" thickBot="1">
      <c r="A4" s="231">
        <v>389.25</v>
      </c>
      <c r="B4" s="236">
        <v>3.8550000000000001E-2</v>
      </c>
      <c r="C4" s="233"/>
    </row>
    <row r="5" spans="1:3" ht="17.25" thickBot="1">
      <c r="A5" s="231">
        <v>389.31</v>
      </c>
      <c r="B5" s="236">
        <v>3.7940000000000002E-2</v>
      </c>
      <c r="C5" s="233"/>
    </row>
    <row r="6" spans="1:3" ht="17.25" thickBot="1">
      <c r="A6" s="231">
        <v>389.4</v>
      </c>
      <c r="B6" s="236">
        <v>3.7350000000000001E-2</v>
      </c>
      <c r="C6" s="233"/>
    </row>
    <row r="7" spans="1:3" ht="17.25" thickBot="1">
      <c r="A7" s="231">
        <v>390.06</v>
      </c>
      <c r="B7" s="236">
        <v>3.6760000000000001E-2</v>
      </c>
      <c r="C7" s="233"/>
    </row>
    <row r="8" spans="1:3" ht="17.25" thickBot="1">
      <c r="A8" s="231">
        <v>390.12</v>
      </c>
      <c r="B8" s="236">
        <v>3.6179999999999997E-2</v>
      </c>
      <c r="C8" s="233"/>
    </row>
    <row r="9" spans="1:3" ht="17.25" thickBot="1">
      <c r="A9" s="231">
        <v>390.21</v>
      </c>
      <c r="B9" s="236">
        <v>3.5580000000000001E-2</v>
      </c>
      <c r="C9" s="233"/>
    </row>
    <row r="10" spans="1:3" ht="17.25" thickBot="1">
      <c r="A10" s="231">
        <v>390.3</v>
      </c>
      <c r="B10" s="236">
        <v>3.44E-2</v>
      </c>
      <c r="C10" s="233"/>
    </row>
    <row r="11" spans="1:3" ht="17.25" thickBot="1">
      <c r="A11" s="231">
        <v>390.99</v>
      </c>
      <c r="B11" s="236">
        <v>3.32E-2</v>
      </c>
      <c r="C11" s="233"/>
    </row>
    <row r="12" spans="1:3" ht="17.25" thickBot="1">
      <c r="A12" s="244">
        <v>391.11</v>
      </c>
      <c r="B12" s="247">
        <v>3.261E-2</v>
      </c>
      <c r="C12" s="233"/>
    </row>
    <row r="13" spans="1:3" ht="17.25" thickBot="1">
      <c r="A13" s="231">
        <v>391.2</v>
      </c>
      <c r="B13" s="236">
        <v>3.2009999999999997E-2</v>
      </c>
      <c r="C13" s="233"/>
    </row>
    <row r="14" spans="1:3" ht="17.25" thickBot="1">
      <c r="A14" s="231">
        <v>391.29</v>
      </c>
      <c r="B14" s="236">
        <v>3.082E-2</v>
      </c>
      <c r="C14" s="233"/>
    </row>
    <row r="15" spans="1:3" ht="17.25" thickBot="1">
      <c r="A15" s="231">
        <v>391.38</v>
      </c>
      <c r="B15" s="236">
        <v>2.9649999999999999E-2</v>
      </c>
      <c r="C15" s="233"/>
    </row>
    <row r="16" spans="1:3" ht="17.25" thickBot="1">
      <c r="A16" s="243">
        <v>392.1</v>
      </c>
      <c r="B16" s="246">
        <v>2.9069999999999999E-2</v>
      </c>
      <c r="C16" s="233"/>
    </row>
    <row r="17" spans="1:3" ht="17.25" thickBot="1">
      <c r="A17" s="231">
        <v>392.19</v>
      </c>
      <c r="B17" s="236">
        <v>2.8469999999999999E-2</v>
      </c>
      <c r="C17" s="233"/>
    </row>
    <row r="18" spans="1:3" ht="17.25" thickBot="1">
      <c r="A18" s="231">
        <v>392.28</v>
      </c>
      <c r="B18" s="236">
        <v>2.7879999999999999E-2</v>
      </c>
      <c r="C18" s="233"/>
    </row>
    <row r="19" spans="1:3" ht="17.25" thickBot="1">
      <c r="A19" s="231">
        <v>392.37</v>
      </c>
      <c r="B19" s="236">
        <v>2.6689999999999998E-2</v>
      </c>
      <c r="C19" s="233"/>
    </row>
    <row r="20" spans="1:3" ht="17.25" thickBot="1">
      <c r="A20" s="244">
        <v>393.09</v>
      </c>
      <c r="B20" s="247">
        <v>2.6089999999999999E-2</v>
      </c>
      <c r="C20" s="233"/>
    </row>
    <row r="21" spans="1:3" ht="17.25" thickBot="1">
      <c r="A21" s="231">
        <v>393.18</v>
      </c>
      <c r="B21" s="236">
        <v>2.5489999999999999E-2</v>
      </c>
      <c r="C21" s="233"/>
    </row>
    <row r="22" spans="1:3" ht="17.25" thickBot="1">
      <c r="A22" s="231">
        <v>393.27</v>
      </c>
      <c r="B22" s="236">
        <v>2.4299999999999999E-2</v>
      </c>
      <c r="C22" s="233"/>
    </row>
    <row r="23" spans="1:3" ht="17.25" thickBot="1">
      <c r="A23" s="231">
        <v>393.36</v>
      </c>
      <c r="B23" s="236">
        <v>2.3730000000000001E-2</v>
      </c>
      <c r="C23" s="233"/>
    </row>
    <row r="24" spans="1:3" ht="17.25" thickBot="1">
      <c r="A24" s="231">
        <v>393.96</v>
      </c>
      <c r="B24" s="236">
        <v>2.3120000000000002E-2</v>
      </c>
      <c r="C24" s="233"/>
    </row>
    <row r="25" spans="1:3" ht="17.25" thickBot="1">
      <c r="A25" s="231">
        <v>394.17</v>
      </c>
      <c r="B25" s="236">
        <v>2.2530000000000001E-2</v>
      </c>
      <c r="C25" s="233"/>
    </row>
    <row r="26" spans="1:3" ht="17.25" thickBot="1">
      <c r="A26" s="231">
        <v>394.26</v>
      </c>
      <c r="B26" s="236">
        <v>2.1340000000000001E-2</v>
      </c>
      <c r="C26" s="233"/>
    </row>
    <row r="27" spans="1:3" ht="17.25" thickBot="1">
      <c r="A27" s="244">
        <v>394.35</v>
      </c>
      <c r="B27" s="247">
        <v>2.0750000000000001E-2</v>
      </c>
      <c r="C27" s="233"/>
    </row>
    <row r="28" spans="1:3" ht="17.25" thickBot="1">
      <c r="A28" s="231">
        <v>395.07</v>
      </c>
      <c r="B28" s="236">
        <v>2.0150000000000001E-2</v>
      </c>
      <c r="C28" s="233"/>
    </row>
    <row r="29" spans="1:3" ht="17.25" thickBot="1">
      <c r="A29" s="231">
        <v>395.16</v>
      </c>
      <c r="B29" s="236">
        <v>1.9570000000000001E-2</v>
      </c>
      <c r="C29" s="233"/>
    </row>
    <row r="30" spans="1:3" ht="17.25" thickBot="1">
      <c r="A30" s="231">
        <v>395.25</v>
      </c>
      <c r="B30" s="236">
        <v>1.8970000000000001E-2</v>
      </c>
      <c r="C30" s="233"/>
    </row>
    <row r="31" spans="1:3" ht="17.25" thickBot="1">
      <c r="A31" s="231">
        <v>395.34</v>
      </c>
      <c r="B31" s="236">
        <v>1.839E-2</v>
      </c>
      <c r="C31" s="233"/>
    </row>
    <row r="32" spans="1:3" ht="17.25" thickBot="1">
      <c r="A32" s="231">
        <v>396.06</v>
      </c>
      <c r="B32" s="236">
        <v>1.779E-2</v>
      </c>
      <c r="C32" s="233"/>
    </row>
    <row r="33" spans="1:3" ht="17.25" thickBot="1">
      <c r="A33" s="231">
        <v>396.15</v>
      </c>
      <c r="B33" s="236">
        <v>1.72E-2</v>
      </c>
      <c r="C33" s="233"/>
    </row>
    <row r="34" spans="1:3" ht="17.25" thickBot="1">
      <c r="A34" s="231">
        <v>396.24</v>
      </c>
      <c r="B34" s="236">
        <v>1.66E-2</v>
      </c>
      <c r="C34" s="233"/>
    </row>
    <row r="35" spans="1:3" ht="17.25" thickBot="1">
      <c r="A35" s="231">
        <v>396.33</v>
      </c>
      <c r="B35" s="236">
        <v>1.541E-2</v>
      </c>
      <c r="C35" s="233"/>
    </row>
    <row r="36" spans="1:3" ht="17.25" thickBot="1">
      <c r="A36" s="243">
        <v>397.23</v>
      </c>
      <c r="B36" s="246">
        <v>1.482E-2</v>
      </c>
      <c r="C36" s="233"/>
    </row>
    <row r="37" spans="1:3" ht="17.25" thickBot="1">
      <c r="A37" s="231">
        <v>397.32</v>
      </c>
      <c r="B37" s="236">
        <v>1.3939999999999999E-2</v>
      </c>
      <c r="C37" s="233"/>
    </row>
    <row r="38" spans="1:3" ht="17.25" thickBot="1">
      <c r="A38" s="231">
        <v>398.13</v>
      </c>
      <c r="B38" s="236">
        <v>1.304E-2</v>
      </c>
      <c r="C38" s="233"/>
    </row>
    <row r="39" spans="1:3" ht="17.25" thickBot="1">
      <c r="A39" s="231">
        <v>398.22</v>
      </c>
      <c r="B39" s="236">
        <v>1.2749999999999999E-2</v>
      </c>
      <c r="C39" s="233"/>
    </row>
    <row r="40" spans="1:3" ht="17.25" thickBot="1">
      <c r="A40" s="231">
        <v>398.31</v>
      </c>
      <c r="B40" s="236">
        <v>1.1860000000000001E-2</v>
      </c>
      <c r="C40" s="233"/>
    </row>
    <row r="41" spans="1:3" ht="17.25" thickBot="1">
      <c r="A41" s="231">
        <v>399.12</v>
      </c>
      <c r="B41" s="236">
        <v>1.1270000000000001E-2</v>
      </c>
      <c r="C41" s="233"/>
    </row>
    <row r="42" spans="1:3" ht="17.25" thickBot="1">
      <c r="A42" s="231">
        <v>399.21</v>
      </c>
      <c r="B42" s="236">
        <v>1.0670000000000001E-2</v>
      </c>
      <c r="C42" s="233"/>
    </row>
    <row r="43" spans="1:3" ht="17.25" thickBot="1">
      <c r="A43" s="231">
        <v>399.3</v>
      </c>
      <c r="B43" s="236">
        <v>9.7800000000000005E-3</v>
      </c>
      <c r="C43" s="233"/>
    </row>
    <row r="44" spans="1:3" ht="17.25" thickBot="1">
      <c r="A44" s="244">
        <v>400.2</v>
      </c>
      <c r="B44" s="247">
        <v>9.1800000000000007E-3</v>
      </c>
      <c r="C44" s="233"/>
    </row>
    <row r="45" spans="1:3" ht="17.25" thickBot="1">
      <c r="A45" s="231">
        <v>400.29</v>
      </c>
      <c r="B45" s="236">
        <v>8.5900000000000004E-3</v>
      </c>
      <c r="C45" s="233"/>
    </row>
    <row r="46" spans="1:3" ht="17.25" thickBot="1">
      <c r="A46" s="231">
        <v>401.1</v>
      </c>
      <c r="B46" s="236">
        <v>7.7099999999999998E-3</v>
      </c>
      <c r="C46" s="233"/>
    </row>
    <row r="47" spans="1:3" ht="17.25" thickBot="1">
      <c r="A47" s="243">
        <v>401.19</v>
      </c>
      <c r="B47" s="246">
        <v>7.4099999999999999E-3</v>
      </c>
      <c r="C47" s="233"/>
    </row>
    <row r="48" spans="1:3" ht="17.25" thickBot="1">
      <c r="A48" s="231">
        <v>401.28</v>
      </c>
      <c r="B48" s="236">
        <v>6.8199999999999997E-3</v>
      </c>
      <c r="C48" s="233"/>
    </row>
    <row r="49" spans="1:3" ht="17.25" thickBot="1">
      <c r="A49" s="231">
        <v>402.12</v>
      </c>
      <c r="B49" s="236">
        <v>6.2300000000000003E-3</v>
      </c>
      <c r="C49" s="233"/>
    </row>
    <row r="50" spans="1:3" ht="17.25" thickBot="1">
      <c r="A50" s="231">
        <v>402.18</v>
      </c>
      <c r="B50" s="236">
        <v>5.9300000000000004E-3</v>
      </c>
      <c r="C50" s="233"/>
    </row>
    <row r="51" spans="1:3" ht="17.25" thickBot="1">
      <c r="A51" s="231">
        <v>402.27</v>
      </c>
      <c r="B51" s="236">
        <v>5.6299999999999996E-3</v>
      </c>
      <c r="C51" s="233"/>
    </row>
    <row r="52" spans="1:3" ht="17.25" thickBot="1">
      <c r="A52" s="231">
        <v>403.17</v>
      </c>
      <c r="B52" s="236">
        <v>4.7400000000000003E-3</v>
      </c>
      <c r="C52" s="233"/>
    </row>
    <row r="53" spans="1:3" ht="17.25" thickBot="1">
      <c r="A53" s="231">
        <v>403.26</v>
      </c>
      <c r="B53" s="236">
        <v>4.4400000000000004E-3</v>
      </c>
      <c r="C53" s="233"/>
    </row>
    <row r="54" spans="1:3" ht="17.25" thickBot="1">
      <c r="A54" s="231">
        <v>404.16</v>
      </c>
      <c r="B54" s="236">
        <v>3.8500000000000001E-3</v>
      </c>
      <c r="C54" s="233"/>
    </row>
    <row r="55" spans="1:3" ht="17.25" thickBot="1">
      <c r="A55" s="231">
        <v>404.25</v>
      </c>
      <c r="B55" s="236">
        <v>3.2599999999999999E-3</v>
      </c>
      <c r="C55" s="233"/>
    </row>
    <row r="56" spans="1:3" ht="17.25" thickBot="1">
      <c r="A56" s="231">
        <v>405.15</v>
      </c>
      <c r="B56" s="236">
        <v>2.6700000000000001E-3</v>
      </c>
      <c r="C56" s="233"/>
    </row>
    <row r="57" spans="1:3" ht="17.25" thickBot="1">
      <c r="A57" s="243">
        <v>405.24</v>
      </c>
      <c r="B57" s="246">
        <v>2.3700000000000001E-3</v>
      </c>
      <c r="C57" s="233"/>
    </row>
    <row r="58" spans="1:3" ht="17.25" thickBot="1">
      <c r="A58" s="231">
        <v>406.23</v>
      </c>
      <c r="B58" s="236">
        <v>1.48E-3</v>
      </c>
      <c r="C58" s="233"/>
    </row>
    <row r="59" spans="1:3" ht="17.25" thickBot="1">
      <c r="A59" s="231">
        <v>407.13</v>
      </c>
      <c r="B59" s="236">
        <v>1.33E-3</v>
      </c>
      <c r="C59" s="233"/>
    </row>
    <row r="60" spans="1:3" ht="17.25" thickBot="1">
      <c r="A60" s="244">
        <v>407.22</v>
      </c>
      <c r="B60" s="247">
        <v>1.0399999999999999E-3</v>
      </c>
      <c r="C60" s="233"/>
    </row>
    <row r="61" spans="1:3" ht="17.25" thickBot="1">
      <c r="A61" s="231">
        <v>408.21</v>
      </c>
      <c r="B61" s="236">
        <v>6.2E-4</v>
      </c>
      <c r="C61" s="233"/>
    </row>
    <row r="62" spans="1:3" ht="17.25" thickBot="1">
      <c r="A62" s="231">
        <v>410.19</v>
      </c>
      <c r="B62" s="236">
        <v>3.5E-4</v>
      </c>
      <c r="C62" s="233"/>
    </row>
    <row r="63" spans="1:3" ht="17.25" thickBot="1">
      <c r="A63" s="245"/>
      <c r="B63" s="170"/>
      <c r="C63" s="233"/>
    </row>
    <row r="64" spans="1:3">
      <c r="A64"/>
      <c r="B64"/>
      <c r="C64" s="233"/>
    </row>
    <row r="65" spans="1:3">
      <c r="A65"/>
      <c r="B65"/>
      <c r="C65" s="233"/>
    </row>
    <row r="66" spans="1:3">
      <c r="A66"/>
      <c r="B66"/>
      <c r="C66" s="233"/>
    </row>
    <row r="67" spans="1:3">
      <c r="A67"/>
      <c r="B67"/>
      <c r="C67" s="233"/>
    </row>
    <row r="68" spans="1:3">
      <c r="A68"/>
      <c r="B68"/>
      <c r="C68" s="233"/>
    </row>
    <row r="69" spans="1:3">
      <c r="A69"/>
      <c r="B69"/>
      <c r="C69" s="233"/>
    </row>
    <row r="70" spans="1:3">
      <c r="A70"/>
      <c r="B70"/>
      <c r="C70" s="233"/>
    </row>
    <row r="71" spans="1:3">
      <c r="A71"/>
      <c r="B71"/>
      <c r="C71" s="233"/>
    </row>
    <row r="72" spans="1:3">
      <c r="A72"/>
      <c r="B72"/>
      <c r="C72" s="233"/>
    </row>
    <row r="73" spans="1:3">
      <c r="A73"/>
      <c r="B73"/>
      <c r="C73" s="233"/>
    </row>
    <row r="74" spans="1:3">
      <c r="A74"/>
      <c r="B74"/>
      <c r="C74" s="233"/>
    </row>
    <row r="75" spans="1:3">
      <c r="A75"/>
      <c r="B75"/>
      <c r="C75" s="233"/>
    </row>
    <row r="76" spans="1:3">
      <c r="A76"/>
      <c r="B76"/>
      <c r="C76" s="233"/>
    </row>
    <row r="77" spans="1:3">
      <c r="A77"/>
      <c r="B77"/>
      <c r="C77" s="233"/>
    </row>
    <row r="78" spans="1:3">
      <c r="A78"/>
      <c r="B78"/>
      <c r="C78" s="233"/>
    </row>
    <row r="79" spans="1:3">
      <c r="A79"/>
      <c r="B79"/>
      <c r="C79" s="233"/>
    </row>
    <row r="80" spans="1:3">
      <c r="A80"/>
      <c r="B80"/>
      <c r="C80" s="233"/>
    </row>
    <row r="81" spans="1:3">
      <c r="A81"/>
      <c r="B81"/>
      <c r="C81" s="233"/>
    </row>
    <row r="82" spans="1:3">
      <c r="A82"/>
      <c r="B82"/>
      <c r="C82" s="233"/>
    </row>
    <row r="83" spans="1:3">
      <c r="A83"/>
      <c r="B83"/>
      <c r="C83" s="233"/>
    </row>
    <row r="84" spans="1:3">
      <c r="A84"/>
      <c r="B84"/>
      <c r="C84" s="233"/>
    </row>
    <row r="85" spans="1:3">
      <c r="A85"/>
      <c r="B85"/>
      <c r="C85" s="233"/>
    </row>
    <row r="86" spans="1:3">
      <c r="A86"/>
      <c r="B86"/>
      <c r="C86" s="233"/>
    </row>
    <row r="87" spans="1:3">
      <c r="A87"/>
      <c r="B87"/>
      <c r="C87" s="233"/>
    </row>
    <row r="88" spans="1:3">
      <c r="A88"/>
      <c r="B88"/>
      <c r="C88" s="233"/>
    </row>
    <row r="89" spans="1:3">
      <c r="A89"/>
      <c r="B89"/>
      <c r="C89" s="233"/>
    </row>
    <row r="90" spans="1:3">
      <c r="A90"/>
      <c r="B90"/>
      <c r="C90" s="233"/>
    </row>
    <row r="91" spans="1:3">
      <c r="A91"/>
      <c r="B91"/>
      <c r="C91" s="233"/>
    </row>
    <row r="92" spans="1:3">
      <c r="A92"/>
      <c r="B92"/>
      <c r="C92" s="233"/>
    </row>
    <row r="93" spans="1:3">
      <c r="A93"/>
      <c r="B93"/>
      <c r="C93" s="233"/>
    </row>
    <row r="94" spans="1:3">
      <c r="A94"/>
      <c r="B94"/>
      <c r="C94" s="233"/>
    </row>
    <row r="95" spans="1:3">
      <c r="A95"/>
      <c r="B95"/>
      <c r="C95" s="233"/>
    </row>
    <row r="96" spans="1:3">
      <c r="A96"/>
      <c r="B96"/>
      <c r="C96" s="233"/>
    </row>
    <row r="97" spans="1:3">
      <c r="A97"/>
      <c r="B97"/>
      <c r="C97" s="233"/>
    </row>
    <row r="98" spans="1:3">
      <c r="A98"/>
      <c r="B98"/>
      <c r="C98" s="233"/>
    </row>
    <row r="99" spans="1:3">
      <c r="A99"/>
      <c r="B99"/>
      <c r="C99" s="233"/>
    </row>
    <row r="100" spans="1:3">
      <c r="A100"/>
      <c r="B100"/>
      <c r="C100" s="233"/>
    </row>
    <row r="101" spans="1:3">
      <c r="A101"/>
      <c r="B101"/>
      <c r="C101" s="233"/>
    </row>
    <row r="102" spans="1:3">
      <c r="A102"/>
      <c r="B102"/>
      <c r="C102" s="233"/>
    </row>
    <row r="103" spans="1:3">
      <c r="A103"/>
      <c r="B103"/>
    </row>
    <row r="104" spans="1:3">
      <c r="A104"/>
      <c r="B104"/>
    </row>
    <row r="105" spans="1:3">
      <c r="A105"/>
      <c r="B105"/>
    </row>
    <row r="106" spans="1:3">
      <c r="A106"/>
      <c r="B106"/>
    </row>
    <row r="107" spans="1:3">
      <c r="A107"/>
      <c r="B107"/>
    </row>
    <row r="108" spans="1:3">
      <c r="A108"/>
      <c r="B108"/>
    </row>
    <row r="109" spans="1:3">
      <c r="A109"/>
      <c r="B109"/>
    </row>
    <row r="110" spans="1:3">
      <c r="A110"/>
      <c r="B110"/>
    </row>
    <row r="111" spans="1:3">
      <c r="A111"/>
      <c r="B111"/>
    </row>
    <row r="112" spans="1:3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</sheetData>
  <sheetProtection algorithmName="SHA-512" hashValue="p5Vd8YPg1uZuuy0pljwIhw6owke+ivjDH5lIN7zRN1q5Z1iAoFhJbo6Dk0DqQkmSzm6WVg3E2ttxVPIrJGpRiQ==" saltValue="5lrEh7OCTr+IR4MUL0n2jQ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5"/>
  <sheetViews>
    <sheetView workbookViewId="0">
      <selection activeCell="L1" sqref="L1:L1048576"/>
    </sheetView>
  </sheetViews>
  <sheetFormatPr defaultRowHeight="16.5"/>
  <cols>
    <col min="1" max="6" width="9" style="8"/>
    <col min="7" max="7" width="9" style="8" customWidth="1"/>
    <col min="8" max="10" width="9" style="8"/>
    <col min="11" max="11" width="9" style="8" customWidth="1"/>
    <col min="12" max="14" width="9" style="8"/>
    <col min="15" max="15" width="9" style="95"/>
    <col min="16" max="16" width="10.25" style="98" customWidth="1"/>
    <col min="17" max="17" width="9" style="8"/>
    <col min="18" max="18" width="9" style="95"/>
    <col min="19" max="19" width="10.25" style="98" customWidth="1"/>
    <col min="20" max="20" width="9" style="8"/>
    <col min="21" max="22" width="9" style="125"/>
    <col min="23" max="23" width="9" style="155"/>
    <col min="24" max="24" width="9" style="8" customWidth="1"/>
    <col min="25" max="16384" width="9" style="8"/>
  </cols>
  <sheetData>
    <row r="1" spans="1:23" ht="17.25" thickBot="1">
      <c r="B1" s="15" t="s">
        <v>20</v>
      </c>
      <c r="C1" s="15" t="s">
        <v>21</v>
      </c>
      <c r="D1" s="15" t="s">
        <v>44</v>
      </c>
      <c r="E1" s="15" t="s">
        <v>62</v>
      </c>
      <c r="F1" s="15" t="s">
        <v>63</v>
      </c>
      <c r="G1" s="15" t="s">
        <v>64</v>
      </c>
      <c r="H1" s="15" t="s">
        <v>65</v>
      </c>
      <c r="I1" s="15" t="s">
        <v>69</v>
      </c>
      <c r="J1" s="15" t="s">
        <v>68</v>
      </c>
      <c r="K1" s="15" t="s">
        <v>60</v>
      </c>
      <c r="L1" s="15" t="s">
        <v>1549</v>
      </c>
      <c r="O1" s="97" t="s">
        <v>189</v>
      </c>
      <c r="P1" s="99" t="s">
        <v>190</v>
      </c>
      <c r="R1" s="97" t="s">
        <v>192</v>
      </c>
      <c r="S1" s="99" t="s">
        <v>191</v>
      </c>
      <c r="U1" s="15" t="s">
        <v>20</v>
      </c>
      <c r="V1" s="15" t="s">
        <v>60</v>
      </c>
      <c r="W1" s="146" t="s">
        <v>1548</v>
      </c>
    </row>
    <row r="2" spans="1:23" ht="17.25" thickBot="1">
      <c r="A2" s="213">
        <v>5.0000000000000001E-3</v>
      </c>
      <c r="B2" s="186">
        <v>423.9</v>
      </c>
      <c r="C2" s="186">
        <v>265.10000000000002</v>
      </c>
      <c r="D2" s="215">
        <v>389.6</v>
      </c>
      <c r="E2" s="186">
        <v>423.6</v>
      </c>
      <c r="F2" s="186">
        <v>423.2</v>
      </c>
      <c r="G2" s="170"/>
      <c r="H2" s="186">
        <v>371.2</v>
      </c>
      <c r="I2" s="170"/>
      <c r="J2" s="170"/>
      <c r="K2" s="170"/>
      <c r="L2" s="190">
        <v>0.4</v>
      </c>
      <c r="O2" s="95">
        <v>176</v>
      </c>
      <c r="P2" s="98">
        <v>99.949999999999974</v>
      </c>
      <c r="R2" s="95">
        <v>255</v>
      </c>
      <c r="S2" s="98">
        <v>99.949999999999974</v>
      </c>
      <c r="U2" s="140">
        <v>424.1</v>
      </c>
      <c r="V2" s="140"/>
      <c r="W2" s="147">
        <v>0.45</v>
      </c>
    </row>
    <row r="3" spans="1:23" ht="17.25" thickBot="1">
      <c r="A3" s="213">
        <v>7.0000000000000001E-3</v>
      </c>
      <c r="B3" s="186">
        <v>424.8</v>
      </c>
      <c r="C3" s="186">
        <v>265.7</v>
      </c>
      <c r="D3" s="215">
        <v>390.5</v>
      </c>
      <c r="E3" s="186">
        <v>424.4</v>
      </c>
      <c r="F3" s="186">
        <v>423.8</v>
      </c>
      <c r="G3" s="170"/>
      <c r="H3" s="186">
        <v>371.8</v>
      </c>
      <c r="I3" s="170"/>
      <c r="J3" s="170"/>
      <c r="K3" s="170"/>
      <c r="L3" s="190">
        <v>0.39500000000000002</v>
      </c>
      <c r="O3" s="95">
        <v>177</v>
      </c>
      <c r="P3" s="98">
        <v>99.5</v>
      </c>
      <c r="R3" s="95">
        <v>256</v>
      </c>
      <c r="S3" s="98">
        <v>99.899999999999977</v>
      </c>
      <c r="U3" s="140">
        <v>425.3</v>
      </c>
      <c r="V3" s="140"/>
      <c r="W3" s="147">
        <v>0.44400000000000001</v>
      </c>
    </row>
    <row r="4" spans="1:23" ht="17.25" thickBot="1">
      <c r="A4" s="213">
        <v>0.01</v>
      </c>
      <c r="B4" s="186">
        <v>425.7</v>
      </c>
      <c r="C4" s="186">
        <v>266.3</v>
      </c>
      <c r="D4" s="215">
        <v>391.2</v>
      </c>
      <c r="E4" s="186">
        <v>425.3</v>
      </c>
      <c r="F4" s="186">
        <v>424.6</v>
      </c>
      <c r="G4" s="170"/>
      <c r="H4" s="186">
        <v>372.6</v>
      </c>
      <c r="I4" s="170"/>
      <c r="J4" s="170"/>
      <c r="K4" s="170"/>
      <c r="L4" s="190">
        <v>0.39</v>
      </c>
      <c r="O4" s="95">
        <v>178</v>
      </c>
      <c r="P4" s="98">
        <v>99.4</v>
      </c>
      <c r="R4" s="95">
        <v>257</v>
      </c>
      <c r="S4" s="98">
        <v>99.84999999999998</v>
      </c>
      <c r="U4" s="140">
        <v>426.1</v>
      </c>
      <c r="V4" s="140"/>
      <c r="W4" s="147">
        <v>0.43799999999999994</v>
      </c>
    </row>
    <row r="5" spans="1:23" ht="17.25" thickBot="1">
      <c r="A5" s="213">
        <v>0.03</v>
      </c>
      <c r="B5" s="186">
        <v>426.8</v>
      </c>
      <c r="C5" s="186">
        <v>267</v>
      </c>
      <c r="D5" s="215">
        <v>392.3</v>
      </c>
      <c r="E5" s="186">
        <v>426.4</v>
      </c>
      <c r="F5" s="186">
        <v>425.4</v>
      </c>
      <c r="G5" s="170"/>
      <c r="H5" s="186">
        <v>373.7</v>
      </c>
      <c r="I5" s="170"/>
      <c r="J5" s="170"/>
      <c r="K5" s="170"/>
      <c r="L5" s="190">
        <v>0.38500000000000001</v>
      </c>
      <c r="O5" s="95">
        <v>179</v>
      </c>
      <c r="P5" s="98">
        <v>99.300000000000011</v>
      </c>
      <c r="R5" s="95">
        <v>258</v>
      </c>
      <c r="S5" s="98">
        <v>99.799999999999983</v>
      </c>
      <c r="U5" s="140">
        <v>427.2</v>
      </c>
      <c r="V5" s="140"/>
      <c r="W5" s="147">
        <v>0.43200000000000005</v>
      </c>
    </row>
    <row r="6" spans="1:23" ht="17.25" thickBot="1">
      <c r="A6" s="213">
        <v>0.05</v>
      </c>
      <c r="B6" s="186">
        <v>428</v>
      </c>
      <c r="C6" s="186">
        <v>267.60000000000002</v>
      </c>
      <c r="D6" s="215">
        <v>393.2</v>
      </c>
      <c r="E6" s="186">
        <v>427.8</v>
      </c>
      <c r="F6" s="186">
        <v>426.6</v>
      </c>
      <c r="G6" s="170"/>
      <c r="H6" s="186">
        <v>374.6</v>
      </c>
      <c r="I6" s="170"/>
      <c r="J6" s="170"/>
      <c r="K6" s="170"/>
      <c r="L6" s="190">
        <v>0.38</v>
      </c>
      <c r="O6" s="95">
        <v>183</v>
      </c>
      <c r="P6" s="98">
        <v>99.200000000000017</v>
      </c>
      <c r="R6" s="95">
        <v>259</v>
      </c>
      <c r="S6" s="98">
        <v>99.699999999999989</v>
      </c>
      <c r="U6" s="140">
        <v>428.1</v>
      </c>
      <c r="V6" s="140"/>
      <c r="W6" s="147">
        <v>0.42599999999999999</v>
      </c>
    </row>
    <row r="7" spans="1:23" ht="17.25" thickBot="1">
      <c r="A7" s="213">
        <v>7.0000000000000007E-2</v>
      </c>
      <c r="B7" s="186">
        <v>429.1</v>
      </c>
      <c r="C7" s="186">
        <v>268.2</v>
      </c>
      <c r="D7" s="215">
        <v>394.5</v>
      </c>
      <c r="E7" s="186">
        <v>428.7</v>
      </c>
      <c r="F7" s="186">
        <v>428</v>
      </c>
      <c r="G7" s="170"/>
      <c r="H7" s="186">
        <v>375.6</v>
      </c>
      <c r="I7" s="170"/>
      <c r="J7" s="170"/>
      <c r="K7" s="170"/>
      <c r="L7" s="190">
        <v>0.375</v>
      </c>
      <c r="O7" s="95">
        <v>184</v>
      </c>
      <c r="P7" s="98">
        <v>98.800000000000026</v>
      </c>
      <c r="R7" s="95">
        <v>260</v>
      </c>
      <c r="S7" s="98">
        <v>99.6</v>
      </c>
      <c r="U7" s="140">
        <v>429.1</v>
      </c>
      <c r="V7" s="140"/>
      <c r="W7" s="147">
        <v>0.42</v>
      </c>
    </row>
    <row r="8" spans="1:23" ht="17.25" thickBot="1">
      <c r="A8" s="213">
        <v>0.1</v>
      </c>
      <c r="B8" s="186">
        <v>430.5</v>
      </c>
      <c r="C8" s="186">
        <v>269</v>
      </c>
      <c r="D8" s="215">
        <v>395.2</v>
      </c>
      <c r="E8" s="186">
        <v>429.8</v>
      </c>
      <c r="F8" s="186">
        <v>429</v>
      </c>
      <c r="G8" s="170"/>
      <c r="H8" s="186">
        <v>376.7</v>
      </c>
      <c r="I8" s="170"/>
      <c r="J8" s="170"/>
      <c r="K8" s="170"/>
      <c r="L8" s="190">
        <v>0.37</v>
      </c>
      <c r="O8" s="95">
        <v>185</v>
      </c>
      <c r="P8" s="98">
        <v>98.600000000000023</v>
      </c>
      <c r="R8" s="95">
        <v>261</v>
      </c>
      <c r="S8" s="98">
        <v>99.5</v>
      </c>
      <c r="U8" s="140">
        <v>429.9</v>
      </c>
      <c r="V8" s="140"/>
      <c r="W8" s="147">
        <v>0.41399999999999998</v>
      </c>
    </row>
    <row r="9" spans="1:23" ht="17.25" thickBot="1">
      <c r="A9" s="213">
        <v>0.13</v>
      </c>
      <c r="B9" s="186">
        <v>431.6</v>
      </c>
      <c r="C9" s="186">
        <v>269.60000000000002</v>
      </c>
      <c r="D9" s="215">
        <v>396.2</v>
      </c>
      <c r="E9" s="186">
        <v>430.8</v>
      </c>
      <c r="F9" s="186">
        <v>429.9</v>
      </c>
      <c r="G9" s="170"/>
      <c r="H9" s="186">
        <v>377.6</v>
      </c>
      <c r="I9" s="170"/>
      <c r="J9" s="170"/>
      <c r="K9" s="170"/>
      <c r="L9" s="190">
        <v>0.36499999999999999</v>
      </c>
      <c r="O9" s="95">
        <v>187</v>
      </c>
      <c r="P9" s="98">
        <v>97.4</v>
      </c>
      <c r="R9" s="95">
        <v>262</v>
      </c>
      <c r="S9" s="98">
        <v>99.4</v>
      </c>
      <c r="U9" s="140">
        <v>430.7</v>
      </c>
      <c r="V9" s="140"/>
      <c r="W9" s="147">
        <v>0.40799999999999997</v>
      </c>
    </row>
    <row r="10" spans="1:23" ht="17.25" thickBot="1">
      <c r="A10" s="213">
        <v>0.16</v>
      </c>
      <c r="B10" s="186">
        <v>432.3</v>
      </c>
      <c r="C10" s="186">
        <v>270.10000000000002</v>
      </c>
      <c r="D10" s="215">
        <v>396.8</v>
      </c>
      <c r="E10" s="186">
        <v>431.6</v>
      </c>
      <c r="F10" s="186">
        <v>430.8</v>
      </c>
      <c r="G10" s="170"/>
      <c r="H10" s="186">
        <v>378.4</v>
      </c>
      <c r="I10" s="170"/>
      <c r="J10" s="170"/>
      <c r="K10" s="170"/>
      <c r="L10" s="190">
        <v>0.36</v>
      </c>
      <c r="O10" s="95">
        <v>188</v>
      </c>
      <c r="P10" s="98">
        <v>96.8</v>
      </c>
      <c r="R10" s="95">
        <v>263</v>
      </c>
      <c r="S10" s="98">
        <v>99.300000000000011</v>
      </c>
      <c r="U10" s="140">
        <v>431.7</v>
      </c>
      <c r="V10" s="140"/>
      <c r="W10" s="147">
        <v>0.40200000000000002</v>
      </c>
    </row>
    <row r="11" spans="1:23" ht="17.25" thickBot="1">
      <c r="A11" s="213">
        <v>0.2</v>
      </c>
      <c r="B11" s="186">
        <v>432.8</v>
      </c>
      <c r="C11" s="186">
        <v>270.60000000000002</v>
      </c>
      <c r="D11" s="215">
        <v>397.4</v>
      </c>
      <c r="E11" s="186">
        <v>432.2</v>
      </c>
      <c r="F11" s="186">
        <v>431.3</v>
      </c>
      <c r="G11" s="170"/>
      <c r="H11" s="186">
        <v>378.9</v>
      </c>
      <c r="I11" s="170"/>
      <c r="J11" s="170"/>
      <c r="K11" s="170"/>
      <c r="L11" s="190">
        <v>0.35499999999999998</v>
      </c>
      <c r="O11" s="95">
        <v>189</v>
      </c>
      <c r="P11" s="98">
        <v>96.5</v>
      </c>
      <c r="R11" s="95">
        <v>264</v>
      </c>
      <c r="S11" s="98">
        <v>99.200000000000017</v>
      </c>
      <c r="U11" s="143">
        <v>433.3</v>
      </c>
      <c r="V11" s="143"/>
      <c r="W11" s="148">
        <v>0.39600000000000002</v>
      </c>
    </row>
    <row r="12" spans="1:23" ht="17.25" thickBot="1">
      <c r="A12" s="213">
        <v>0.23</v>
      </c>
      <c r="B12" s="186">
        <v>433.7</v>
      </c>
      <c r="C12" s="186">
        <v>271.3</v>
      </c>
      <c r="D12" s="215">
        <v>398.7</v>
      </c>
      <c r="E12" s="186">
        <v>433.7</v>
      </c>
      <c r="F12" s="186">
        <v>432.9</v>
      </c>
      <c r="G12" s="171"/>
      <c r="H12" s="186">
        <v>379.9</v>
      </c>
      <c r="I12" s="171"/>
      <c r="J12" s="171"/>
      <c r="K12" s="171"/>
      <c r="L12" s="190">
        <v>0.35</v>
      </c>
      <c r="O12" s="95">
        <v>190</v>
      </c>
      <c r="P12" s="98">
        <v>95.6</v>
      </c>
      <c r="R12" s="95">
        <v>265</v>
      </c>
      <c r="S12" s="98">
        <v>99.100000000000023</v>
      </c>
      <c r="U12" s="140">
        <v>434.3</v>
      </c>
      <c r="V12" s="140"/>
      <c r="W12" s="147">
        <v>0.39</v>
      </c>
    </row>
    <row r="13" spans="1:23" ht="17.25" thickBot="1">
      <c r="A13" s="213">
        <v>0.27</v>
      </c>
      <c r="B13" s="186">
        <v>435.4</v>
      </c>
      <c r="C13" s="186">
        <v>272.10000000000002</v>
      </c>
      <c r="D13" s="215">
        <v>400.1</v>
      </c>
      <c r="E13" s="186">
        <v>434.9</v>
      </c>
      <c r="F13" s="186">
        <v>434.5</v>
      </c>
      <c r="G13" s="170"/>
      <c r="H13" s="186">
        <v>381.1</v>
      </c>
      <c r="I13" s="170"/>
      <c r="J13" s="170"/>
      <c r="K13" s="170"/>
      <c r="L13" s="190">
        <v>0.34499999999999997</v>
      </c>
      <c r="O13" s="95">
        <v>191</v>
      </c>
      <c r="P13" s="98">
        <v>95</v>
      </c>
      <c r="R13" s="95">
        <v>266</v>
      </c>
      <c r="S13" s="98">
        <v>99.000000000000028</v>
      </c>
      <c r="U13" s="140">
        <v>435.2</v>
      </c>
      <c r="V13" s="140"/>
      <c r="W13" s="147">
        <v>0.38400000000000001</v>
      </c>
    </row>
    <row r="14" spans="1:23" ht="17.25" thickBot="1">
      <c r="A14" s="213">
        <v>0.3</v>
      </c>
      <c r="B14" s="186">
        <v>436.1</v>
      </c>
      <c r="C14" s="186">
        <v>272.89999999999998</v>
      </c>
      <c r="D14" s="215">
        <v>401</v>
      </c>
      <c r="E14" s="186">
        <v>436.2</v>
      </c>
      <c r="F14" s="186">
        <v>435.7</v>
      </c>
      <c r="G14" s="170"/>
      <c r="H14" s="186">
        <v>382.1</v>
      </c>
      <c r="I14" s="170"/>
      <c r="J14" s="170"/>
      <c r="K14" s="170"/>
      <c r="L14" s="190">
        <v>0.34</v>
      </c>
      <c r="O14" s="95">
        <v>192</v>
      </c>
      <c r="P14" s="98">
        <v>94.7</v>
      </c>
      <c r="R14" s="95">
        <v>267</v>
      </c>
      <c r="S14" s="98">
        <v>98.800000000000026</v>
      </c>
      <c r="U14" s="140">
        <v>436.3</v>
      </c>
      <c r="V14" s="140"/>
      <c r="W14" s="147">
        <v>0.37799999999999995</v>
      </c>
    </row>
    <row r="15" spans="1:23" ht="17.25" thickBot="1">
      <c r="A15" s="213">
        <v>0.4</v>
      </c>
      <c r="B15" s="186">
        <v>437.3</v>
      </c>
      <c r="C15" s="186">
        <v>273.5</v>
      </c>
      <c r="D15" s="215">
        <v>401.8</v>
      </c>
      <c r="E15" s="186">
        <v>436.9</v>
      </c>
      <c r="F15" s="186">
        <v>436.7</v>
      </c>
      <c r="G15" s="170"/>
      <c r="H15" s="186">
        <v>383</v>
      </c>
      <c r="I15" s="170"/>
      <c r="J15" s="170"/>
      <c r="K15" s="170"/>
      <c r="L15" s="190">
        <v>0.33500000000000002</v>
      </c>
      <c r="O15" s="95">
        <v>194</v>
      </c>
      <c r="P15" s="98">
        <v>94.4</v>
      </c>
      <c r="R15" s="95">
        <v>268</v>
      </c>
      <c r="S15" s="98">
        <v>98.600000000000023</v>
      </c>
      <c r="U15" s="140">
        <v>437.3</v>
      </c>
      <c r="V15" s="140"/>
      <c r="W15" s="147">
        <v>0.37200000000000005</v>
      </c>
    </row>
    <row r="16" spans="1:23" ht="17.25" thickBot="1">
      <c r="A16" s="213">
        <v>0.5</v>
      </c>
      <c r="B16" s="186">
        <v>438</v>
      </c>
      <c r="C16" s="186">
        <v>274.10000000000002</v>
      </c>
      <c r="D16" s="215">
        <v>402.8</v>
      </c>
      <c r="E16" s="186">
        <v>438</v>
      </c>
      <c r="F16" s="186">
        <v>437.7</v>
      </c>
      <c r="G16" s="170"/>
      <c r="H16" s="186">
        <v>383.9</v>
      </c>
      <c r="I16" s="170"/>
      <c r="J16" s="170"/>
      <c r="K16" s="170"/>
      <c r="L16" s="190">
        <v>0.33</v>
      </c>
      <c r="O16" s="95">
        <v>195</v>
      </c>
      <c r="P16" s="98">
        <v>94.1</v>
      </c>
      <c r="R16" s="95">
        <v>269</v>
      </c>
      <c r="S16" s="98">
        <v>98.40000000000002</v>
      </c>
      <c r="U16" s="143">
        <v>438.6</v>
      </c>
      <c r="V16" s="143"/>
      <c r="W16" s="148">
        <v>0.36599999999999999</v>
      </c>
    </row>
    <row r="17" spans="1:23" ht="17.25" thickBot="1">
      <c r="A17" s="213">
        <v>0.6</v>
      </c>
      <c r="B17" s="186">
        <v>439.5</v>
      </c>
      <c r="C17" s="186">
        <v>274.5</v>
      </c>
      <c r="D17" s="215">
        <v>403.4</v>
      </c>
      <c r="E17" s="186">
        <v>439.3</v>
      </c>
      <c r="F17" s="186">
        <v>438.7</v>
      </c>
      <c r="G17" s="170"/>
      <c r="H17" s="186">
        <v>384.8</v>
      </c>
      <c r="I17" s="170"/>
      <c r="J17" s="170"/>
      <c r="K17" s="170"/>
      <c r="L17" s="190">
        <v>0.32500000000000001</v>
      </c>
      <c r="O17" s="95">
        <v>197</v>
      </c>
      <c r="P17" s="98">
        <v>93.7</v>
      </c>
      <c r="R17" s="95">
        <v>270</v>
      </c>
      <c r="S17" s="98">
        <v>98.200000000000017</v>
      </c>
      <c r="U17" s="140">
        <v>439.5</v>
      </c>
      <c r="V17" s="140"/>
      <c r="W17" s="147">
        <v>0.36</v>
      </c>
    </row>
    <row r="18" spans="1:23" ht="17.25" thickBot="1">
      <c r="A18" s="213">
        <v>0.8</v>
      </c>
      <c r="B18" s="186">
        <v>440.6</v>
      </c>
      <c r="C18" s="186">
        <v>275.10000000000002</v>
      </c>
      <c r="D18" s="215">
        <v>404.2</v>
      </c>
      <c r="E18" s="186">
        <v>440.1</v>
      </c>
      <c r="F18" s="186">
        <v>439.7</v>
      </c>
      <c r="G18" s="170"/>
      <c r="H18" s="186">
        <v>385.5</v>
      </c>
      <c r="I18" s="170"/>
      <c r="J18" s="170"/>
      <c r="K18" s="170"/>
      <c r="L18" s="190">
        <v>0.32</v>
      </c>
      <c r="O18" s="95">
        <v>199</v>
      </c>
      <c r="P18" s="98">
        <v>93.4</v>
      </c>
      <c r="R18" s="95">
        <v>271</v>
      </c>
      <c r="S18" s="98">
        <v>98.000000000000014</v>
      </c>
      <c r="U18" s="140">
        <v>440.4</v>
      </c>
      <c r="V18" s="140"/>
      <c r="W18" s="147">
        <v>0.35399999999999998</v>
      </c>
    </row>
    <row r="19" spans="1:23" ht="17.25" thickBot="1">
      <c r="A19" s="213">
        <v>1</v>
      </c>
      <c r="B19" s="186">
        <v>442.1</v>
      </c>
      <c r="C19" s="186">
        <v>275.89999999999998</v>
      </c>
      <c r="D19" s="215">
        <v>405.3</v>
      </c>
      <c r="E19" s="186">
        <v>440.7</v>
      </c>
      <c r="F19" s="186">
        <v>440.8</v>
      </c>
      <c r="G19" s="18"/>
      <c r="H19" s="186">
        <v>386.3</v>
      </c>
      <c r="I19" s="18"/>
      <c r="J19" s="18"/>
      <c r="K19" s="16">
        <v>27</v>
      </c>
      <c r="L19" s="190">
        <v>0.315</v>
      </c>
      <c r="O19" s="95">
        <v>201</v>
      </c>
      <c r="P19" s="98">
        <v>93.1</v>
      </c>
      <c r="R19" s="95">
        <v>272</v>
      </c>
      <c r="S19" s="98">
        <v>97.800000000000011</v>
      </c>
      <c r="U19" s="140">
        <v>441.3</v>
      </c>
      <c r="V19" s="140"/>
      <c r="W19" s="147">
        <v>0.34799999999999998</v>
      </c>
    </row>
    <row r="20" spans="1:23" ht="17.25" thickBot="1">
      <c r="A20" s="213">
        <v>1.2</v>
      </c>
      <c r="B20" s="186">
        <v>443.1</v>
      </c>
      <c r="C20" s="186">
        <v>276.60000000000002</v>
      </c>
      <c r="D20" s="215">
        <v>406.3</v>
      </c>
      <c r="E20" s="186">
        <v>442.2</v>
      </c>
      <c r="F20" s="186">
        <v>442</v>
      </c>
      <c r="G20" s="24"/>
      <c r="H20" s="186">
        <v>387.3</v>
      </c>
      <c r="I20" s="24"/>
      <c r="J20" s="24"/>
      <c r="K20" s="26">
        <v>58</v>
      </c>
      <c r="L20" s="190">
        <v>0.31</v>
      </c>
      <c r="O20" s="95">
        <v>203</v>
      </c>
      <c r="P20" s="98">
        <v>92.8</v>
      </c>
      <c r="R20" s="95">
        <v>273</v>
      </c>
      <c r="S20" s="98">
        <v>97.600000000000009</v>
      </c>
      <c r="U20" s="143">
        <v>442.5</v>
      </c>
      <c r="V20" s="143"/>
      <c r="W20" s="148">
        <v>0.34200000000000003</v>
      </c>
    </row>
    <row r="21" spans="1:23" ht="17.25" thickBot="1">
      <c r="A21" s="213">
        <v>1.4</v>
      </c>
      <c r="B21" s="186">
        <v>443.9</v>
      </c>
      <c r="C21" s="186">
        <v>277.2</v>
      </c>
      <c r="D21" s="215">
        <v>407.2</v>
      </c>
      <c r="E21" s="186">
        <v>443</v>
      </c>
      <c r="F21" s="186">
        <v>443</v>
      </c>
      <c r="G21" s="18"/>
      <c r="H21" s="186">
        <v>388.1</v>
      </c>
      <c r="I21" s="18"/>
      <c r="J21" s="18"/>
      <c r="K21" s="16">
        <v>89</v>
      </c>
      <c r="L21" s="190">
        <v>0.30499999999999999</v>
      </c>
      <c r="O21" s="95">
        <v>205</v>
      </c>
      <c r="P21" s="98">
        <v>92.5</v>
      </c>
      <c r="R21" s="95">
        <v>274</v>
      </c>
      <c r="S21" s="98">
        <v>97.4</v>
      </c>
      <c r="U21" s="140">
        <v>443.5</v>
      </c>
      <c r="V21" s="140"/>
      <c r="W21" s="147">
        <v>0.33600000000000002</v>
      </c>
    </row>
    <row r="22" spans="1:23" ht="17.25" thickBot="1">
      <c r="A22" s="213">
        <v>1.6</v>
      </c>
      <c r="B22" s="186">
        <v>445</v>
      </c>
      <c r="C22" s="186">
        <v>277.7</v>
      </c>
      <c r="D22" s="215">
        <v>408</v>
      </c>
      <c r="E22" s="186">
        <v>443.9</v>
      </c>
      <c r="F22" s="186">
        <v>444</v>
      </c>
      <c r="G22" s="18"/>
      <c r="H22" s="186">
        <v>389.1</v>
      </c>
      <c r="I22" s="18"/>
      <c r="J22" s="18"/>
      <c r="K22" s="16">
        <v>119</v>
      </c>
      <c r="L22" s="190">
        <v>0.3</v>
      </c>
      <c r="O22" s="95">
        <v>206</v>
      </c>
      <c r="P22" s="98">
        <v>92.2</v>
      </c>
      <c r="R22" s="95">
        <v>275</v>
      </c>
      <c r="S22" s="98">
        <v>97.2</v>
      </c>
      <c r="U22" s="140">
        <v>444.2</v>
      </c>
      <c r="V22" s="140"/>
      <c r="W22" s="147">
        <v>0.33</v>
      </c>
    </row>
    <row r="23" spans="1:23" ht="17.25" thickBot="1">
      <c r="A23" s="213">
        <v>1.8</v>
      </c>
      <c r="B23" s="186">
        <v>445.9</v>
      </c>
      <c r="C23" s="186">
        <v>278</v>
      </c>
      <c r="D23" s="215">
        <v>408.5</v>
      </c>
      <c r="E23" s="186">
        <v>444.8</v>
      </c>
      <c r="F23" s="186">
        <v>444.8</v>
      </c>
      <c r="G23" s="18"/>
      <c r="H23" s="186">
        <v>389.9</v>
      </c>
      <c r="I23" s="18"/>
      <c r="J23" s="18"/>
      <c r="K23" s="16">
        <v>150</v>
      </c>
      <c r="L23" s="190">
        <v>0.29499999999999998</v>
      </c>
      <c r="O23" s="95">
        <v>207</v>
      </c>
      <c r="P23" s="98">
        <v>91.9</v>
      </c>
      <c r="R23" s="95">
        <v>276</v>
      </c>
      <c r="S23" s="98">
        <v>97</v>
      </c>
      <c r="U23" s="140">
        <v>445.1</v>
      </c>
      <c r="V23" s="140"/>
      <c r="W23" s="147">
        <v>0.32400000000000001</v>
      </c>
    </row>
    <row r="24" spans="1:23" ht="17.25" thickBot="1">
      <c r="A24" s="213">
        <v>2</v>
      </c>
      <c r="B24" s="186">
        <v>446.8</v>
      </c>
      <c r="C24" s="186">
        <v>278.8</v>
      </c>
      <c r="D24" s="215">
        <v>409.7</v>
      </c>
      <c r="E24" s="186">
        <v>446.1</v>
      </c>
      <c r="F24" s="186">
        <v>446</v>
      </c>
      <c r="G24" s="18"/>
      <c r="H24" s="186">
        <v>390.7</v>
      </c>
      <c r="I24" s="18"/>
      <c r="J24" s="18"/>
      <c r="K24" s="16">
        <v>178</v>
      </c>
      <c r="L24" s="190">
        <v>0.28999999999999998</v>
      </c>
      <c r="O24" s="95">
        <v>209</v>
      </c>
      <c r="P24" s="98">
        <v>91.6</v>
      </c>
      <c r="R24" s="95">
        <v>277</v>
      </c>
      <c r="S24" s="98">
        <v>96.8</v>
      </c>
      <c r="U24" s="140">
        <v>446.4</v>
      </c>
      <c r="V24" s="140"/>
      <c r="W24" s="147">
        <v>0.318</v>
      </c>
    </row>
    <row r="25" spans="1:23" ht="17.25" thickBot="1">
      <c r="A25" s="213">
        <v>2.2999999999999998</v>
      </c>
      <c r="B25" s="186">
        <v>448.4</v>
      </c>
      <c r="C25" s="186">
        <v>279.60000000000002</v>
      </c>
      <c r="D25" s="215">
        <v>410.8</v>
      </c>
      <c r="E25" s="186">
        <v>447.2</v>
      </c>
      <c r="F25" s="186">
        <v>447</v>
      </c>
      <c r="G25" s="18"/>
      <c r="H25" s="186">
        <v>391.9</v>
      </c>
      <c r="I25" s="18"/>
      <c r="J25" s="18"/>
      <c r="K25" s="16">
        <v>209</v>
      </c>
      <c r="L25" s="190">
        <v>0.28499999999999998</v>
      </c>
      <c r="O25" s="95">
        <v>210</v>
      </c>
      <c r="P25" s="98">
        <v>91.3</v>
      </c>
      <c r="R25" s="95">
        <v>278</v>
      </c>
      <c r="S25" s="98">
        <v>96.5</v>
      </c>
      <c r="U25" s="140">
        <v>447.5</v>
      </c>
      <c r="V25" s="140"/>
      <c r="W25" s="147">
        <v>0.312</v>
      </c>
    </row>
    <row r="26" spans="1:23" ht="17.25" thickBot="1">
      <c r="A26" s="213">
        <v>2.5</v>
      </c>
      <c r="B26" s="186">
        <v>449.3</v>
      </c>
      <c r="C26" s="186">
        <v>280.39999999999998</v>
      </c>
      <c r="D26" s="215">
        <v>412</v>
      </c>
      <c r="E26" s="186">
        <v>448.2</v>
      </c>
      <c r="F26" s="186">
        <v>448</v>
      </c>
      <c r="G26" s="18"/>
      <c r="H26" s="186">
        <v>393</v>
      </c>
      <c r="I26" s="18"/>
      <c r="J26" s="18"/>
      <c r="K26" s="16">
        <v>237</v>
      </c>
      <c r="L26" s="190">
        <v>0.28000000000000003</v>
      </c>
      <c r="O26" s="95">
        <v>211</v>
      </c>
      <c r="P26" s="98">
        <v>91</v>
      </c>
      <c r="R26" s="95">
        <v>279</v>
      </c>
      <c r="S26" s="98">
        <v>96.2</v>
      </c>
      <c r="U26" s="143">
        <v>448.2</v>
      </c>
      <c r="V26" s="143"/>
      <c r="W26" s="148">
        <v>0.30599999999999999</v>
      </c>
    </row>
    <row r="27" spans="1:23" ht="17.25" thickBot="1">
      <c r="A27" s="213">
        <v>2.7</v>
      </c>
      <c r="B27" s="186">
        <v>450.1</v>
      </c>
      <c r="C27" s="186">
        <v>280.89999999999998</v>
      </c>
      <c r="D27" s="215">
        <v>412.7</v>
      </c>
      <c r="E27" s="186">
        <v>448.9</v>
      </c>
      <c r="F27" s="186">
        <v>449</v>
      </c>
      <c r="G27" s="24"/>
      <c r="H27" s="186">
        <v>393.5</v>
      </c>
      <c r="I27" s="24"/>
      <c r="J27" s="24"/>
      <c r="K27" s="26">
        <v>269</v>
      </c>
      <c r="L27" s="190">
        <v>0.27500000000000002</v>
      </c>
      <c r="O27" s="95">
        <v>212</v>
      </c>
      <c r="P27" s="98">
        <v>90.7</v>
      </c>
      <c r="R27" s="95">
        <v>280</v>
      </c>
      <c r="S27" s="98">
        <v>95.9</v>
      </c>
      <c r="U27" s="18">
        <v>449.1</v>
      </c>
      <c r="V27" s="16">
        <v>15</v>
      </c>
      <c r="W27" s="149">
        <v>0.3</v>
      </c>
    </row>
    <row r="28" spans="1:23" ht="17.25" thickBot="1">
      <c r="A28" s="213">
        <v>3</v>
      </c>
      <c r="B28" s="186">
        <v>451.3</v>
      </c>
      <c r="C28" s="186">
        <v>281.60000000000002</v>
      </c>
      <c r="D28" s="215">
        <v>413.8</v>
      </c>
      <c r="E28" s="186">
        <v>449.9</v>
      </c>
      <c r="F28" s="186">
        <v>450.1</v>
      </c>
      <c r="G28" s="18"/>
      <c r="H28" s="186">
        <v>394.4</v>
      </c>
      <c r="I28" s="18"/>
      <c r="J28" s="18"/>
      <c r="K28" s="16">
        <v>300</v>
      </c>
      <c r="L28" s="190">
        <v>0.27</v>
      </c>
      <c r="O28" s="95">
        <v>214</v>
      </c>
      <c r="P28" s="98">
        <v>90.1</v>
      </c>
      <c r="R28" s="95">
        <v>281</v>
      </c>
      <c r="S28" s="98">
        <v>95.6</v>
      </c>
      <c r="U28" s="18">
        <v>449.9</v>
      </c>
      <c r="V28" s="16">
        <v>30</v>
      </c>
      <c r="W28" s="149">
        <v>0.29499999999999998</v>
      </c>
    </row>
    <row r="29" spans="1:23" ht="17.25" thickBot="1">
      <c r="A29" s="213">
        <v>3.3</v>
      </c>
      <c r="B29" s="186">
        <v>452.1</v>
      </c>
      <c r="C29" s="186">
        <v>282.10000000000002</v>
      </c>
      <c r="D29" s="215">
        <v>414.5</v>
      </c>
      <c r="E29" s="186">
        <v>450.9</v>
      </c>
      <c r="F29" s="186">
        <v>450.9</v>
      </c>
      <c r="G29" s="23"/>
      <c r="H29" s="186">
        <v>395.1</v>
      </c>
      <c r="I29" s="23"/>
      <c r="J29" s="23"/>
      <c r="K29" s="28">
        <v>350</v>
      </c>
      <c r="L29" s="190">
        <v>0.26500000000000001</v>
      </c>
      <c r="O29" s="95">
        <v>215</v>
      </c>
      <c r="P29" s="98">
        <v>89.8</v>
      </c>
      <c r="R29" s="95">
        <v>282</v>
      </c>
      <c r="S29" s="98">
        <v>95.3</v>
      </c>
      <c r="U29" s="18">
        <v>450.8</v>
      </c>
      <c r="V29" s="16">
        <v>45</v>
      </c>
      <c r="W29" s="149">
        <v>0.28999999999999998</v>
      </c>
    </row>
    <row r="30" spans="1:23" ht="17.25" thickBot="1">
      <c r="A30" s="213">
        <v>3.5</v>
      </c>
      <c r="B30" s="186">
        <v>453.4</v>
      </c>
      <c r="C30" s="186">
        <v>282.8</v>
      </c>
      <c r="D30" s="215">
        <v>415.5</v>
      </c>
      <c r="E30" s="186">
        <v>452.1</v>
      </c>
      <c r="F30" s="186">
        <v>452.1</v>
      </c>
      <c r="G30" s="18"/>
      <c r="H30" s="186">
        <v>396.2</v>
      </c>
      <c r="I30" s="18"/>
      <c r="J30" s="18"/>
      <c r="K30" s="16">
        <v>399</v>
      </c>
      <c r="L30" s="190">
        <v>0.26</v>
      </c>
      <c r="O30" s="95">
        <v>218</v>
      </c>
      <c r="P30" s="98">
        <v>89.4</v>
      </c>
      <c r="R30" s="95">
        <v>283</v>
      </c>
      <c r="S30" s="98">
        <v>95</v>
      </c>
      <c r="U30" s="18">
        <v>452</v>
      </c>
      <c r="V30" s="16">
        <v>60</v>
      </c>
      <c r="W30" s="149">
        <v>0.28499999999999998</v>
      </c>
    </row>
    <row r="31" spans="1:23" ht="17.25" thickBot="1">
      <c r="A31" s="213">
        <v>3.7</v>
      </c>
      <c r="B31" s="186">
        <v>454</v>
      </c>
      <c r="C31" s="186">
        <v>283.3</v>
      </c>
      <c r="D31" s="215">
        <v>416.2</v>
      </c>
      <c r="E31" s="186">
        <v>452.6</v>
      </c>
      <c r="F31" s="186">
        <v>452.8</v>
      </c>
      <c r="G31" s="18"/>
      <c r="H31" s="186">
        <v>396.8</v>
      </c>
      <c r="I31" s="18"/>
      <c r="J31" s="18"/>
      <c r="K31" s="16">
        <v>449</v>
      </c>
      <c r="L31" s="190">
        <v>0.255</v>
      </c>
      <c r="O31" s="95">
        <v>219</v>
      </c>
      <c r="P31" s="98">
        <v>88.8</v>
      </c>
      <c r="R31" s="95">
        <v>284</v>
      </c>
      <c r="S31" s="98">
        <v>94.7</v>
      </c>
      <c r="U31" s="18">
        <v>452.8</v>
      </c>
      <c r="V31" s="16">
        <v>75</v>
      </c>
      <c r="W31" s="149">
        <v>0.28000000000000003</v>
      </c>
    </row>
    <row r="32" spans="1:23" ht="17.25" thickBot="1">
      <c r="A32" s="213">
        <v>4</v>
      </c>
      <c r="B32" s="186">
        <v>455.7</v>
      </c>
      <c r="C32" s="186">
        <v>284.10000000000002</v>
      </c>
      <c r="D32" s="215">
        <v>417.5</v>
      </c>
      <c r="E32" s="186">
        <v>453.9</v>
      </c>
      <c r="F32" s="186">
        <v>454.4</v>
      </c>
      <c r="G32" s="18"/>
      <c r="H32" s="186">
        <v>397.7</v>
      </c>
      <c r="I32" s="18"/>
      <c r="J32" s="18"/>
      <c r="K32" s="16">
        <v>499</v>
      </c>
      <c r="L32" s="190">
        <v>0.25</v>
      </c>
      <c r="O32" s="95">
        <v>221</v>
      </c>
      <c r="P32" s="98">
        <v>88.5</v>
      </c>
      <c r="R32" s="95">
        <v>285</v>
      </c>
      <c r="S32" s="98">
        <v>94.4</v>
      </c>
      <c r="U32" s="18">
        <v>453.6</v>
      </c>
      <c r="V32" s="16">
        <v>90</v>
      </c>
      <c r="W32" s="149">
        <v>0.27500000000000002</v>
      </c>
    </row>
    <row r="33" spans="1:23" ht="17.25" thickBot="1">
      <c r="A33" s="213">
        <v>4.3</v>
      </c>
      <c r="B33" s="186">
        <v>456.3</v>
      </c>
      <c r="C33" s="186">
        <v>284.7</v>
      </c>
      <c r="D33" s="215">
        <v>418.4</v>
      </c>
      <c r="E33" s="186">
        <v>454.9</v>
      </c>
      <c r="F33" s="186">
        <v>455.4</v>
      </c>
      <c r="G33" s="18"/>
      <c r="H33" s="186">
        <v>398.7</v>
      </c>
      <c r="I33" s="18"/>
      <c r="J33" s="18"/>
      <c r="K33" s="16">
        <v>597</v>
      </c>
      <c r="L33" s="190">
        <v>0.245</v>
      </c>
      <c r="O33" s="95">
        <v>223</v>
      </c>
      <c r="P33" s="98">
        <v>87.5</v>
      </c>
      <c r="R33" s="95">
        <v>286</v>
      </c>
      <c r="S33" s="98">
        <v>94.1</v>
      </c>
      <c r="U33" s="18">
        <v>455</v>
      </c>
      <c r="V33" s="16">
        <v>105</v>
      </c>
      <c r="W33" s="149">
        <v>0.27</v>
      </c>
    </row>
    <row r="34" spans="1:23" ht="17.25" thickBot="1">
      <c r="A34" s="213">
        <v>4.7</v>
      </c>
      <c r="B34" s="186">
        <v>457.6</v>
      </c>
      <c r="C34" s="186">
        <v>285.39999999999998</v>
      </c>
      <c r="D34" s="215">
        <v>419.2</v>
      </c>
      <c r="E34" s="186">
        <v>456.2</v>
      </c>
      <c r="F34" s="186">
        <v>456.6</v>
      </c>
      <c r="G34" s="18"/>
      <c r="H34" s="186">
        <v>399.9</v>
      </c>
      <c r="I34" s="18"/>
      <c r="J34" s="18"/>
      <c r="K34" s="16">
        <v>700</v>
      </c>
      <c r="L34" s="190">
        <v>0.24</v>
      </c>
      <c r="O34" s="95">
        <v>224</v>
      </c>
      <c r="P34" s="98">
        <v>87.1</v>
      </c>
      <c r="R34" s="95">
        <v>287</v>
      </c>
      <c r="S34" s="98">
        <v>93.7</v>
      </c>
      <c r="U34" s="18">
        <v>455.8</v>
      </c>
      <c r="V34" s="16">
        <v>120</v>
      </c>
      <c r="W34" s="149">
        <v>0.26500000000000001</v>
      </c>
    </row>
    <row r="35" spans="1:23" ht="17.25" thickBot="1">
      <c r="A35" s="213">
        <v>5</v>
      </c>
      <c r="B35" s="186">
        <v>458.9</v>
      </c>
      <c r="C35" s="186">
        <v>286.2</v>
      </c>
      <c r="D35" s="215">
        <v>420.3</v>
      </c>
      <c r="E35" s="186">
        <v>457.6</v>
      </c>
      <c r="F35" s="186">
        <v>458</v>
      </c>
      <c r="G35" s="18"/>
      <c r="H35" s="186">
        <v>400.8</v>
      </c>
      <c r="I35" s="18"/>
      <c r="J35" s="18"/>
      <c r="K35" s="16">
        <v>799</v>
      </c>
      <c r="L35" s="190">
        <v>0.23499999999999999</v>
      </c>
      <c r="O35" s="95">
        <v>225</v>
      </c>
      <c r="P35" s="98">
        <v>86.5</v>
      </c>
      <c r="R35" s="95">
        <v>288</v>
      </c>
      <c r="S35" s="98">
        <v>93.4</v>
      </c>
      <c r="U35" s="18">
        <v>457</v>
      </c>
      <c r="V35" s="16">
        <v>135</v>
      </c>
      <c r="W35" s="149">
        <v>0.26</v>
      </c>
    </row>
    <row r="36" spans="1:23" ht="17.25" thickBot="1">
      <c r="A36" s="213">
        <v>5.3</v>
      </c>
      <c r="B36" s="186">
        <v>460</v>
      </c>
      <c r="C36" s="186">
        <v>287</v>
      </c>
      <c r="D36" s="215">
        <v>421.7</v>
      </c>
      <c r="E36" s="186">
        <v>458.6</v>
      </c>
      <c r="F36" s="186">
        <v>459.1</v>
      </c>
      <c r="G36" s="18"/>
      <c r="H36" s="186">
        <v>401.9</v>
      </c>
      <c r="I36" s="18"/>
      <c r="J36" s="18"/>
      <c r="K36" s="16">
        <v>900</v>
      </c>
      <c r="L36" s="190">
        <v>0.23</v>
      </c>
      <c r="O36" s="95">
        <v>226</v>
      </c>
      <c r="P36" s="98">
        <v>86.2</v>
      </c>
      <c r="R36" s="95">
        <v>289</v>
      </c>
      <c r="S36" s="98">
        <v>93.1</v>
      </c>
      <c r="U36" s="23">
        <v>458.2</v>
      </c>
      <c r="V36" s="28">
        <v>150</v>
      </c>
      <c r="W36" s="150">
        <v>0.255</v>
      </c>
    </row>
    <row r="37" spans="1:23" ht="17.25" thickBot="1">
      <c r="A37" s="213">
        <v>5.7</v>
      </c>
      <c r="B37" s="186">
        <v>461</v>
      </c>
      <c r="C37" s="186">
        <v>287.60000000000002</v>
      </c>
      <c r="D37" s="215">
        <v>422.8</v>
      </c>
      <c r="E37" s="186">
        <v>459.7</v>
      </c>
      <c r="F37" s="186">
        <v>460.1</v>
      </c>
      <c r="G37" s="23"/>
      <c r="H37" s="186">
        <v>402.9</v>
      </c>
      <c r="I37" s="23"/>
      <c r="J37" s="23"/>
      <c r="K37" s="28">
        <v>999</v>
      </c>
      <c r="L37" s="190">
        <v>0.22500000000000001</v>
      </c>
      <c r="O37" s="95">
        <v>227</v>
      </c>
      <c r="P37" s="98">
        <v>85.8</v>
      </c>
      <c r="R37" s="95">
        <v>290</v>
      </c>
      <c r="S37" s="98">
        <v>92.8</v>
      </c>
      <c r="U37" s="18">
        <v>459.2</v>
      </c>
      <c r="V37" s="16">
        <v>175</v>
      </c>
      <c r="W37" s="149">
        <v>0.25</v>
      </c>
    </row>
    <row r="38" spans="1:23" ht="17.25" thickBot="1">
      <c r="A38" s="213">
        <v>6</v>
      </c>
      <c r="B38" s="186">
        <v>462</v>
      </c>
      <c r="C38" s="186">
        <v>288.3</v>
      </c>
      <c r="D38" s="215">
        <v>423.4</v>
      </c>
      <c r="E38" s="186">
        <v>460.6</v>
      </c>
      <c r="F38" s="186">
        <v>461.2</v>
      </c>
      <c r="G38" s="18"/>
      <c r="H38" s="186">
        <v>403.7</v>
      </c>
      <c r="I38" s="18"/>
      <c r="J38" s="18"/>
      <c r="K38" s="21">
        <v>1098</v>
      </c>
      <c r="L38" s="190">
        <v>0.22</v>
      </c>
      <c r="O38" s="95">
        <v>228</v>
      </c>
      <c r="P38" s="98">
        <v>85.5</v>
      </c>
      <c r="R38" s="95">
        <v>291</v>
      </c>
      <c r="S38" s="98">
        <v>92.5</v>
      </c>
      <c r="U38" s="18">
        <v>460.1</v>
      </c>
      <c r="V38" s="16">
        <v>200</v>
      </c>
      <c r="W38" s="149">
        <v>0.245</v>
      </c>
    </row>
    <row r="39" spans="1:23" ht="17.25" thickBot="1">
      <c r="A39" s="213">
        <v>6.3</v>
      </c>
      <c r="B39" s="186">
        <v>463.1</v>
      </c>
      <c r="C39" s="186">
        <v>288.89999999999998</v>
      </c>
      <c r="D39" s="215">
        <v>424.4</v>
      </c>
      <c r="E39" s="186">
        <v>461.9</v>
      </c>
      <c r="F39" s="186">
        <v>462.1</v>
      </c>
      <c r="G39" s="18"/>
      <c r="H39" s="186">
        <v>404.6</v>
      </c>
      <c r="I39" s="18"/>
      <c r="J39" s="18"/>
      <c r="K39" s="21">
        <v>1198</v>
      </c>
      <c r="L39" s="190">
        <v>0.217</v>
      </c>
      <c r="O39" s="95">
        <v>230</v>
      </c>
      <c r="P39" s="98">
        <v>85.2</v>
      </c>
      <c r="R39" s="95">
        <v>292</v>
      </c>
      <c r="S39" s="98">
        <v>92.2</v>
      </c>
      <c r="U39" s="18">
        <v>460.9</v>
      </c>
      <c r="V39" s="16">
        <v>225</v>
      </c>
      <c r="W39" s="149">
        <v>0.24</v>
      </c>
    </row>
    <row r="40" spans="1:23" ht="17.25" thickBot="1">
      <c r="A40" s="213">
        <v>6.7</v>
      </c>
      <c r="B40" s="186">
        <v>464</v>
      </c>
      <c r="C40" s="186">
        <v>289.39999999999998</v>
      </c>
      <c r="D40" s="215">
        <v>425.3</v>
      </c>
      <c r="E40" s="186">
        <v>462.9</v>
      </c>
      <c r="F40" s="186">
        <v>463.3</v>
      </c>
      <c r="G40" s="18"/>
      <c r="H40" s="186">
        <v>405.7</v>
      </c>
      <c r="I40" s="18"/>
      <c r="J40" s="18"/>
      <c r="K40" s="21">
        <v>1299</v>
      </c>
      <c r="L40" s="190">
        <v>0.21299999999999999</v>
      </c>
      <c r="O40" s="95">
        <v>232</v>
      </c>
      <c r="P40" s="98">
        <v>84.5</v>
      </c>
      <c r="R40" s="95">
        <v>293</v>
      </c>
      <c r="S40" s="98">
        <v>91.9</v>
      </c>
      <c r="U40" s="18">
        <v>461.7</v>
      </c>
      <c r="V40" s="16">
        <v>249</v>
      </c>
      <c r="W40" s="149">
        <v>0.23499999999999999</v>
      </c>
    </row>
    <row r="41" spans="1:23" ht="17.25" thickBot="1">
      <c r="A41" s="213">
        <v>7</v>
      </c>
      <c r="B41" s="186">
        <v>464.9</v>
      </c>
      <c r="C41" s="186">
        <v>290</v>
      </c>
      <c r="D41" s="215">
        <v>426.1</v>
      </c>
      <c r="E41" s="186">
        <v>463.8</v>
      </c>
      <c r="F41" s="186">
        <v>464.3</v>
      </c>
      <c r="G41" s="18"/>
      <c r="H41" s="186">
        <v>406.5</v>
      </c>
      <c r="I41" s="18"/>
      <c r="J41" s="18"/>
      <c r="K41" s="21">
        <v>1398</v>
      </c>
      <c r="L41" s="190">
        <v>0.21</v>
      </c>
      <c r="O41" s="95">
        <v>234</v>
      </c>
      <c r="P41" s="98">
        <v>83.5</v>
      </c>
      <c r="R41" s="95">
        <v>294</v>
      </c>
      <c r="S41" s="98">
        <v>91.6</v>
      </c>
      <c r="U41" s="23">
        <v>462.6</v>
      </c>
      <c r="V41" s="28">
        <v>299</v>
      </c>
      <c r="W41" s="150">
        <v>0.23</v>
      </c>
    </row>
    <row r="42" spans="1:23" ht="17.25" thickBot="1">
      <c r="A42" s="213">
        <v>7.3</v>
      </c>
      <c r="B42" s="186">
        <v>466</v>
      </c>
      <c r="C42" s="186">
        <v>290.7</v>
      </c>
      <c r="D42" s="215">
        <v>427.2</v>
      </c>
      <c r="E42" s="186">
        <v>464.9</v>
      </c>
      <c r="F42" s="186">
        <v>465.5</v>
      </c>
      <c r="G42" s="18"/>
      <c r="H42" s="186">
        <v>407.4</v>
      </c>
      <c r="I42" s="18"/>
      <c r="J42" s="18"/>
      <c r="K42" s="21">
        <v>1497</v>
      </c>
      <c r="L42" s="190">
        <v>0.20499999999999999</v>
      </c>
      <c r="O42" s="95">
        <v>235</v>
      </c>
      <c r="P42" s="98">
        <v>83.2</v>
      </c>
      <c r="R42" s="95">
        <v>295</v>
      </c>
      <c r="S42" s="98">
        <v>91.3</v>
      </c>
      <c r="U42" s="24">
        <v>463.9</v>
      </c>
      <c r="V42" s="26">
        <v>349</v>
      </c>
      <c r="W42" s="151">
        <v>0.22500000000000001</v>
      </c>
    </row>
    <row r="43" spans="1:23" ht="17.25" thickBot="1">
      <c r="A43" s="213">
        <v>7.7</v>
      </c>
      <c r="B43" s="186">
        <v>467.2</v>
      </c>
      <c r="C43" s="186">
        <v>291.3</v>
      </c>
      <c r="D43" s="215">
        <v>428.3</v>
      </c>
      <c r="E43" s="186">
        <v>466.4</v>
      </c>
      <c r="F43" s="186">
        <v>467.1</v>
      </c>
      <c r="G43" s="18"/>
      <c r="H43" s="186">
        <v>408.3</v>
      </c>
      <c r="I43" s="18"/>
      <c r="J43" s="18"/>
      <c r="K43" s="21">
        <v>1597</v>
      </c>
      <c r="L43" s="190">
        <v>0.2</v>
      </c>
      <c r="O43" s="95">
        <v>237</v>
      </c>
      <c r="P43" s="98">
        <v>82.6</v>
      </c>
      <c r="R43" s="95">
        <v>296</v>
      </c>
      <c r="S43" s="98">
        <v>91</v>
      </c>
      <c r="U43" s="18">
        <v>464.9</v>
      </c>
      <c r="V43" s="16">
        <v>400</v>
      </c>
      <c r="W43" s="149">
        <v>0.22</v>
      </c>
    </row>
    <row r="44" spans="1:23" ht="17.25" thickBot="1">
      <c r="A44" s="213">
        <v>8</v>
      </c>
      <c r="B44" s="186">
        <v>468.3</v>
      </c>
      <c r="C44" s="186">
        <v>292</v>
      </c>
      <c r="D44" s="215">
        <v>429</v>
      </c>
      <c r="E44" s="186">
        <v>467.2</v>
      </c>
      <c r="F44" s="186">
        <v>468.1</v>
      </c>
      <c r="G44" s="20"/>
      <c r="H44" s="186">
        <v>409.3</v>
      </c>
      <c r="I44" s="20"/>
      <c r="J44" s="20"/>
      <c r="K44" s="22">
        <v>1698</v>
      </c>
      <c r="L44" s="190">
        <v>0.19500000000000001</v>
      </c>
      <c r="O44" s="96">
        <v>238</v>
      </c>
      <c r="P44" s="98">
        <v>82.2</v>
      </c>
      <c r="R44" s="95">
        <v>297</v>
      </c>
      <c r="S44" s="98">
        <v>90.7</v>
      </c>
      <c r="U44" s="18">
        <v>465.9</v>
      </c>
      <c r="V44" s="16">
        <v>449</v>
      </c>
      <c r="W44" s="149">
        <v>0.215</v>
      </c>
    </row>
    <row r="45" spans="1:23" ht="17.25" thickBot="1">
      <c r="A45" s="213">
        <v>8.3000000000000007</v>
      </c>
      <c r="B45" s="186">
        <v>469.1</v>
      </c>
      <c r="C45" s="186">
        <v>292.60000000000002</v>
      </c>
      <c r="D45" s="215">
        <v>429.6</v>
      </c>
      <c r="E45" s="186">
        <v>468.1</v>
      </c>
      <c r="F45" s="186">
        <v>468.8</v>
      </c>
      <c r="G45" s="18"/>
      <c r="H45" s="186">
        <v>410</v>
      </c>
      <c r="I45" s="18"/>
      <c r="J45" s="18"/>
      <c r="K45" s="21">
        <v>1800</v>
      </c>
      <c r="L45" s="190">
        <v>0.19</v>
      </c>
      <c r="O45" s="95">
        <v>239</v>
      </c>
      <c r="P45" s="98">
        <v>81.900000000000006</v>
      </c>
      <c r="R45" s="95">
        <v>298</v>
      </c>
      <c r="S45" s="98">
        <v>90.4</v>
      </c>
      <c r="U45" s="23">
        <v>467.2</v>
      </c>
      <c r="V45" s="28">
        <v>499</v>
      </c>
      <c r="W45" s="150">
        <v>0.21</v>
      </c>
    </row>
    <row r="46" spans="1:23" ht="17.25" thickBot="1">
      <c r="A46" s="213">
        <v>8.6999999999999993</v>
      </c>
      <c r="B46" s="186">
        <v>470.2</v>
      </c>
      <c r="C46" s="186">
        <v>293.2</v>
      </c>
      <c r="D46" s="215">
        <v>430.7</v>
      </c>
      <c r="E46" s="186">
        <v>468.8</v>
      </c>
      <c r="F46" s="186">
        <v>469.6</v>
      </c>
      <c r="G46" s="18"/>
      <c r="H46" s="186">
        <v>410.9</v>
      </c>
      <c r="I46" s="18"/>
      <c r="J46" s="18"/>
      <c r="K46" s="21">
        <v>1899</v>
      </c>
      <c r="L46" s="190">
        <v>0.185</v>
      </c>
      <c r="O46" s="95">
        <v>240</v>
      </c>
      <c r="P46" s="98">
        <v>81.2</v>
      </c>
      <c r="R46" s="95">
        <v>299</v>
      </c>
      <c r="S46" s="98">
        <v>90.1</v>
      </c>
      <c r="U46" s="18">
        <v>468.3</v>
      </c>
      <c r="V46" s="16">
        <v>550</v>
      </c>
      <c r="W46" s="149">
        <v>0.20499999999999999</v>
      </c>
    </row>
    <row r="47" spans="1:23" ht="17.25" thickBot="1">
      <c r="A47" s="213">
        <v>9</v>
      </c>
      <c r="B47" s="186">
        <v>471</v>
      </c>
      <c r="C47" s="186">
        <v>293.8</v>
      </c>
      <c r="D47" s="215">
        <v>431.7</v>
      </c>
      <c r="E47" s="186">
        <v>470</v>
      </c>
      <c r="F47" s="186">
        <v>470.4</v>
      </c>
      <c r="G47" s="18"/>
      <c r="H47" s="186">
        <v>411.6</v>
      </c>
      <c r="I47" s="18"/>
      <c r="J47" s="18"/>
      <c r="K47" s="21">
        <v>1999</v>
      </c>
      <c r="L47" s="190">
        <v>0.18</v>
      </c>
      <c r="O47" s="95">
        <v>242</v>
      </c>
      <c r="P47" s="98">
        <v>80.900000000000006</v>
      </c>
      <c r="R47" s="95">
        <v>300</v>
      </c>
      <c r="S47" s="98">
        <v>89.8</v>
      </c>
      <c r="U47" s="18">
        <v>469.2</v>
      </c>
      <c r="V47" s="16">
        <v>600</v>
      </c>
      <c r="W47" s="149">
        <v>0.2</v>
      </c>
    </row>
    <row r="48" spans="1:23" ht="17.25" thickBot="1">
      <c r="A48" s="213">
        <v>9.3000000000000007</v>
      </c>
      <c r="B48" s="186">
        <v>472.2</v>
      </c>
      <c r="C48" s="186">
        <v>294.5</v>
      </c>
      <c r="D48" s="215">
        <v>432.7</v>
      </c>
      <c r="E48" s="186">
        <v>471</v>
      </c>
      <c r="F48" s="186">
        <v>471.9</v>
      </c>
      <c r="G48" s="18"/>
      <c r="H48" s="186">
        <v>412.7</v>
      </c>
      <c r="I48" s="18"/>
      <c r="J48" s="18"/>
      <c r="K48" s="21">
        <v>2100</v>
      </c>
      <c r="L48" s="190">
        <v>0.17699999999999999</v>
      </c>
      <c r="O48" s="95">
        <v>243</v>
      </c>
      <c r="P48" s="98">
        <v>80.2</v>
      </c>
      <c r="R48" s="95">
        <v>301</v>
      </c>
      <c r="S48" s="98">
        <v>89.4</v>
      </c>
      <c r="U48" s="18">
        <v>469.7</v>
      </c>
      <c r="V48" s="16">
        <v>650</v>
      </c>
      <c r="W48" s="149">
        <v>0.19500000000000001</v>
      </c>
    </row>
    <row r="49" spans="1:23" ht="17.25" thickBot="1">
      <c r="A49" s="213">
        <v>9.6999999999999993</v>
      </c>
      <c r="B49" s="186">
        <v>473</v>
      </c>
      <c r="C49" s="186">
        <v>295.2</v>
      </c>
      <c r="D49" s="215">
        <v>433.5</v>
      </c>
      <c r="E49" s="186">
        <v>472</v>
      </c>
      <c r="F49" s="186">
        <v>472.9</v>
      </c>
      <c r="G49" s="18"/>
      <c r="H49" s="186">
        <v>413.4</v>
      </c>
      <c r="I49" s="18"/>
      <c r="J49" s="18"/>
      <c r="K49" s="21">
        <v>2197</v>
      </c>
      <c r="L49" s="190">
        <v>0.17300000000000001</v>
      </c>
      <c r="O49" s="95">
        <v>244</v>
      </c>
      <c r="P49" s="98">
        <v>79.5</v>
      </c>
      <c r="R49" s="95">
        <v>302</v>
      </c>
      <c r="S49" s="98">
        <v>89.1</v>
      </c>
      <c r="U49" s="18">
        <v>470.8</v>
      </c>
      <c r="V49" s="16">
        <v>700</v>
      </c>
      <c r="W49" s="149">
        <v>0.19</v>
      </c>
    </row>
    <row r="50" spans="1:23" ht="17.25" thickBot="1">
      <c r="A50" s="213">
        <v>10</v>
      </c>
      <c r="B50" s="186">
        <v>474.1</v>
      </c>
      <c r="C50" s="186">
        <v>295.89999999999998</v>
      </c>
      <c r="D50" s="215">
        <v>434.7</v>
      </c>
      <c r="E50" s="186">
        <v>473.1</v>
      </c>
      <c r="F50" s="186">
        <v>474.1</v>
      </c>
      <c r="G50" s="18"/>
      <c r="H50" s="186">
        <v>414.6</v>
      </c>
      <c r="I50" s="18"/>
      <c r="J50" s="18"/>
      <c r="K50" s="21">
        <v>2300</v>
      </c>
      <c r="L50" s="190">
        <v>0.17</v>
      </c>
      <c r="O50" s="95">
        <v>245</v>
      </c>
      <c r="P50" s="98">
        <v>79.2</v>
      </c>
      <c r="R50" s="95">
        <v>303</v>
      </c>
      <c r="S50" s="98">
        <v>88.8</v>
      </c>
      <c r="U50" s="18">
        <v>471.9</v>
      </c>
      <c r="V50" s="16">
        <v>749</v>
      </c>
      <c r="W50" s="149">
        <v>0.185</v>
      </c>
    </row>
    <row r="51" spans="1:23" ht="17.25" thickBot="1">
      <c r="A51" s="213">
        <v>10.3</v>
      </c>
      <c r="B51" s="186">
        <v>475.5</v>
      </c>
      <c r="C51" s="186">
        <v>296.60000000000002</v>
      </c>
      <c r="D51" s="215">
        <v>435.8</v>
      </c>
      <c r="E51" s="186">
        <v>474.4</v>
      </c>
      <c r="F51" s="186">
        <v>475.3</v>
      </c>
      <c r="G51" s="18"/>
      <c r="H51" s="186">
        <v>415.7</v>
      </c>
      <c r="I51" s="18"/>
      <c r="J51" s="18"/>
      <c r="K51" s="21">
        <v>2399</v>
      </c>
      <c r="L51" s="190">
        <v>0.16699999999999998</v>
      </c>
      <c r="O51" s="95">
        <v>246</v>
      </c>
      <c r="P51" s="98">
        <v>78.5</v>
      </c>
      <c r="R51" s="95">
        <v>304</v>
      </c>
      <c r="S51" s="98">
        <v>88.5</v>
      </c>
      <c r="U51" s="23">
        <v>473.2</v>
      </c>
      <c r="V51" s="28">
        <v>800</v>
      </c>
      <c r="W51" s="150">
        <v>0.18</v>
      </c>
    </row>
    <row r="52" spans="1:23" ht="17.25" thickBot="1">
      <c r="A52" s="213">
        <v>10.7</v>
      </c>
      <c r="B52" s="186">
        <v>476.6</v>
      </c>
      <c r="C52" s="186">
        <v>297.3</v>
      </c>
      <c r="D52" s="215">
        <v>436.7</v>
      </c>
      <c r="E52" s="186">
        <v>475.2</v>
      </c>
      <c r="F52" s="186">
        <v>476.2</v>
      </c>
      <c r="G52" s="18"/>
      <c r="H52" s="186">
        <v>416.7</v>
      </c>
      <c r="I52" s="18"/>
      <c r="J52" s="18"/>
      <c r="K52" s="21">
        <v>2499</v>
      </c>
      <c r="L52" s="190">
        <v>0.16300000000000001</v>
      </c>
      <c r="O52" s="95">
        <v>247</v>
      </c>
      <c r="P52" s="98">
        <v>78.099999999999994</v>
      </c>
      <c r="R52" s="95">
        <v>305</v>
      </c>
      <c r="S52" s="98">
        <v>88.1</v>
      </c>
      <c r="U52" s="18">
        <v>473.9</v>
      </c>
      <c r="V52" s="16">
        <v>849</v>
      </c>
      <c r="W52" s="149">
        <v>0.17499999999999999</v>
      </c>
    </row>
    <row r="53" spans="1:23" ht="17.25" thickBot="1">
      <c r="A53" s="213">
        <v>11</v>
      </c>
      <c r="B53" s="186">
        <v>477.7</v>
      </c>
      <c r="C53" s="186">
        <v>298</v>
      </c>
      <c r="D53" s="215">
        <v>438</v>
      </c>
      <c r="E53" s="186">
        <v>476.7</v>
      </c>
      <c r="F53" s="186">
        <v>477.4</v>
      </c>
      <c r="G53" s="18"/>
      <c r="H53" s="186">
        <v>417.6</v>
      </c>
      <c r="I53" s="18"/>
      <c r="J53" s="18"/>
      <c r="K53" s="21">
        <v>2599</v>
      </c>
      <c r="L53" s="190">
        <v>0.16</v>
      </c>
      <c r="O53" s="96">
        <v>248</v>
      </c>
      <c r="P53" s="98">
        <v>77.8</v>
      </c>
      <c r="R53" s="95">
        <v>306</v>
      </c>
      <c r="S53" s="98">
        <v>87.8</v>
      </c>
      <c r="U53" s="18">
        <v>474.8</v>
      </c>
      <c r="V53" s="16">
        <v>899</v>
      </c>
      <c r="W53" s="149">
        <v>0.17</v>
      </c>
    </row>
    <row r="54" spans="1:23" ht="17.25" thickBot="1">
      <c r="A54" s="213">
        <v>11.3</v>
      </c>
      <c r="B54" s="186">
        <v>478.6</v>
      </c>
      <c r="C54" s="186">
        <v>298.60000000000002</v>
      </c>
      <c r="D54" s="215">
        <v>438.8</v>
      </c>
      <c r="E54" s="186">
        <v>477.6</v>
      </c>
      <c r="F54" s="186">
        <v>478.1</v>
      </c>
      <c r="G54" s="18"/>
      <c r="H54" s="186">
        <v>418.6</v>
      </c>
      <c r="I54" s="18"/>
      <c r="J54" s="18"/>
      <c r="K54" s="21">
        <v>2696</v>
      </c>
      <c r="L54" s="190">
        <v>0.157</v>
      </c>
      <c r="O54" s="95">
        <v>249</v>
      </c>
      <c r="P54" s="98">
        <v>77.099999999999994</v>
      </c>
      <c r="R54" s="95">
        <v>307</v>
      </c>
      <c r="S54" s="98">
        <v>87.5</v>
      </c>
      <c r="U54" s="18">
        <v>475.8</v>
      </c>
      <c r="V54" s="16">
        <v>949</v>
      </c>
      <c r="W54" s="149">
        <v>0.16500000000000001</v>
      </c>
    </row>
    <row r="55" spans="1:23" ht="17.25" thickBot="1">
      <c r="A55" s="213">
        <v>11.7</v>
      </c>
      <c r="B55" s="186">
        <v>479.4</v>
      </c>
      <c r="C55" s="186">
        <v>299.2</v>
      </c>
      <c r="D55" s="215">
        <v>439.7</v>
      </c>
      <c r="E55" s="186">
        <v>478.5</v>
      </c>
      <c r="F55" s="186">
        <v>479.2</v>
      </c>
      <c r="G55" s="18"/>
      <c r="H55" s="186">
        <v>419.4</v>
      </c>
      <c r="I55" s="18"/>
      <c r="J55" s="18"/>
      <c r="K55" s="21">
        <v>2798</v>
      </c>
      <c r="L55" s="190">
        <v>0.153</v>
      </c>
      <c r="O55" s="95">
        <v>251</v>
      </c>
      <c r="P55" s="98">
        <v>76.7</v>
      </c>
      <c r="R55" s="95">
        <v>308</v>
      </c>
      <c r="S55" s="98">
        <v>87.1</v>
      </c>
      <c r="U55" s="18">
        <v>476.6</v>
      </c>
      <c r="V55" s="16">
        <v>999</v>
      </c>
      <c r="W55" s="149">
        <v>0.16</v>
      </c>
    </row>
    <row r="56" spans="1:23" ht="17.25" thickBot="1">
      <c r="A56" s="213">
        <v>12</v>
      </c>
      <c r="B56" s="186">
        <v>480.9</v>
      </c>
      <c r="C56" s="186">
        <v>299.7</v>
      </c>
      <c r="D56" s="215">
        <v>440.4</v>
      </c>
      <c r="E56" s="186">
        <v>479.7</v>
      </c>
      <c r="F56" s="186">
        <v>480.4</v>
      </c>
      <c r="G56" s="18"/>
      <c r="H56" s="186">
        <v>420.3</v>
      </c>
      <c r="I56" s="18"/>
      <c r="J56" s="18"/>
      <c r="K56" s="21">
        <v>2897</v>
      </c>
      <c r="L56" s="190">
        <v>0.15</v>
      </c>
      <c r="O56" s="95">
        <v>252</v>
      </c>
      <c r="P56" s="98">
        <v>76</v>
      </c>
      <c r="R56" s="95">
        <v>309</v>
      </c>
      <c r="S56" s="98">
        <v>86.8</v>
      </c>
      <c r="U56" s="18">
        <v>477.8</v>
      </c>
      <c r="V56" s="21">
        <v>1050</v>
      </c>
      <c r="W56" s="149">
        <v>0.155</v>
      </c>
    </row>
    <row r="57" spans="1:23" ht="17.25" thickBot="1">
      <c r="A57" s="213">
        <v>12.3</v>
      </c>
      <c r="B57" s="186">
        <v>481.8</v>
      </c>
      <c r="C57" s="186">
        <v>300.5</v>
      </c>
      <c r="D57" s="215">
        <v>441.5</v>
      </c>
      <c r="E57" s="186">
        <v>480.9</v>
      </c>
      <c r="F57" s="186">
        <v>481.9</v>
      </c>
      <c r="G57" s="18"/>
      <c r="H57" s="186">
        <v>421.4</v>
      </c>
      <c r="I57" s="18"/>
      <c r="J57" s="18"/>
      <c r="K57" s="21">
        <v>2996</v>
      </c>
      <c r="L57" s="190">
        <v>0.14699999999999999</v>
      </c>
      <c r="O57" s="95">
        <v>253</v>
      </c>
      <c r="P57" s="98">
        <v>75.3</v>
      </c>
      <c r="R57" s="95">
        <v>310</v>
      </c>
      <c r="S57" s="98">
        <v>86.5</v>
      </c>
      <c r="U57" s="18">
        <v>479.1</v>
      </c>
      <c r="V57" s="21">
        <v>1099</v>
      </c>
      <c r="W57" s="149">
        <v>0.15</v>
      </c>
    </row>
    <row r="58" spans="1:23" ht="17.25" thickBot="1">
      <c r="A58" s="213">
        <v>12.7</v>
      </c>
      <c r="B58" s="186">
        <v>482.8</v>
      </c>
      <c r="C58" s="186">
        <v>301.10000000000002</v>
      </c>
      <c r="D58" s="215">
        <v>442.5</v>
      </c>
      <c r="E58" s="186">
        <v>482.2</v>
      </c>
      <c r="F58" s="186">
        <v>483</v>
      </c>
      <c r="G58" s="18"/>
      <c r="H58" s="186">
        <v>422.4</v>
      </c>
      <c r="I58" s="18"/>
      <c r="J58" s="18"/>
      <c r="K58" s="21">
        <v>3096</v>
      </c>
      <c r="L58" s="190">
        <v>0.14300000000000002</v>
      </c>
      <c r="O58" s="95">
        <v>254</v>
      </c>
      <c r="P58" s="98">
        <v>75</v>
      </c>
      <c r="R58" s="95">
        <v>311</v>
      </c>
      <c r="S58" s="98">
        <v>86.2</v>
      </c>
      <c r="U58" s="24">
        <v>479.9</v>
      </c>
      <c r="V58" s="27">
        <v>1149</v>
      </c>
      <c r="W58" s="151">
        <v>0.14499999999999999</v>
      </c>
    </row>
    <row r="59" spans="1:23" ht="17.25" thickBot="1">
      <c r="A59" s="213">
        <v>13</v>
      </c>
      <c r="B59" s="186">
        <v>484</v>
      </c>
      <c r="C59" s="186">
        <v>301.89999999999998</v>
      </c>
      <c r="D59" s="215">
        <v>443.6</v>
      </c>
      <c r="E59" s="186">
        <v>483.7</v>
      </c>
      <c r="F59" s="186">
        <v>484.5</v>
      </c>
      <c r="G59" s="18"/>
      <c r="H59" s="186">
        <v>423.4</v>
      </c>
      <c r="I59" s="18"/>
      <c r="J59" s="18"/>
      <c r="K59" s="21">
        <v>3197</v>
      </c>
      <c r="L59" s="190">
        <v>0.14000000000000001</v>
      </c>
      <c r="O59" s="95">
        <v>255</v>
      </c>
      <c r="P59" s="98">
        <v>74.2</v>
      </c>
      <c r="R59" s="95">
        <v>312</v>
      </c>
      <c r="S59" s="98">
        <v>85.8</v>
      </c>
      <c r="U59" s="18">
        <v>480.7</v>
      </c>
      <c r="V59" s="21">
        <v>1198</v>
      </c>
      <c r="W59" s="149">
        <v>0.14000000000000001</v>
      </c>
    </row>
    <row r="60" spans="1:23" ht="17.25" thickBot="1">
      <c r="A60" s="213">
        <v>13.3</v>
      </c>
      <c r="B60" s="186">
        <v>485</v>
      </c>
      <c r="C60" s="186">
        <v>302.5</v>
      </c>
      <c r="D60" s="215">
        <v>444.5</v>
      </c>
      <c r="E60" s="186">
        <v>484.4</v>
      </c>
      <c r="F60" s="186">
        <v>485.4</v>
      </c>
      <c r="G60" s="24"/>
      <c r="H60" s="186">
        <v>424.3</v>
      </c>
      <c r="I60" s="24"/>
      <c r="J60" s="24"/>
      <c r="K60" s="27">
        <v>3299</v>
      </c>
      <c r="L60" s="190">
        <v>0.13699999999999998</v>
      </c>
      <c r="O60" s="95">
        <v>256</v>
      </c>
      <c r="P60" s="98">
        <v>73.900000000000006</v>
      </c>
      <c r="R60" s="95">
        <v>313</v>
      </c>
      <c r="S60" s="98">
        <v>85.5</v>
      </c>
      <c r="U60" s="18">
        <v>481.7</v>
      </c>
      <c r="V60" s="21">
        <v>1248</v>
      </c>
      <c r="W60" s="149">
        <v>0.13500000000000001</v>
      </c>
    </row>
    <row r="61" spans="1:23" ht="17.25" thickBot="1">
      <c r="A61" s="213">
        <v>13.7</v>
      </c>
      <c r="B61" s="186">
        <v>486.2</v>
      </c>
      <c r="C61" s="186">
        <v>303.2</v>
      </c>
      <c r="D61" s="215">
        <v>445.7</v>
      </c>
      <c r="E61" s="186">
        <v>485.7</v>
      </c>
      <c r="F61" s="186">
        <v>486.7</v>
      </c>
      <c r="G61" s="23"/>
      <c r="H61" s="186">
        <v>425.4</v>
      </c>
      <c r="I61" s="23"/>
      <c r="J61" s="23"/>
      <c r="K61" s="25">
        <v>3397</v>
      </c>
      <c r="L61" s="190">
        <v>0.13300000000000001</v>
      </c>
      <c r="O61" s="95">
        <v>257</v>
      </c>
      <c r="P61" s="98">
        <v>73.5</v>
      </c>
      <c r="R61" s="95">
        <v>314</v>
      </c>
      <c r="S61" s="98">
        <v>85.2</v>
      </c>
      <c r="U61" s="18">
        <v>483.1</v>
      </c>
      <c r="V61" s="21">
        <v>1299</v>
      </c>
      <c r="W61" s="149">
        <v>0.13</v>
      </c>
    </row>
    <row r="62" spans="1:23" ht="17.25" thickBot="1">
      <c r="A62" s="213">
        <v>14</v>
      </c>
      <c r="B62" s="186">
        <v>487</v>
      </c>
      <c r="C62" s="186">
        <v>303.89999999999998</v>
      </c>
      <c r="D62" s="215">
        <v>446.6</v>
      </c>
      <c r="E62" s="186">
        <v>486.6</v>
      </c>
      <c r="F62" s="186">
        <v>487.6</v>
      </c>
      <c r="G62" s="18"/>
      <c r="H62" s="186">
        <v>426.3</v>
      </c>
      <c r="I62" s="18"/>
      <c r="J62" s="18"/>
      <c r="K62" s="21">
        <v>3500</v>
      </c>
      <c r="L62" s="190">
        <v>0.13</v>
      </c>
      <c r="O62" s="95">
        <v>259</v>
      </c>
      <c r="P62" s="98">
        <v>73.2</v>
      </c>
      <c r="R62" s="95">
        <v>315</v>
      </c>
      <c r="S62" s="98">
        <v>84.9</v>
      </c>
      <c r="U62" s="18">
        <v>484.2</v>
      </c>
      <c r="V62" s="21">
        <v>1350</v>
      </c>
      <c r="W62" s="149">
        <v>0.125</v>
      </c>
    </row>
    <row r="63" spans="1:23" ht="17.25" thickBot="1">
      <c r="A63" s="213">
        <v>14.3</v>
      </c>
      <c r="B63" s="186">
        <v>488</v>
      </c>
      <c r="C63" s="186">
        <v>304.5</v>
      </c>
      <c r="D63" s="215">
        <v>447.4</v>
      </c>
      <c r="E63" s="186">
        <v>487.6</v>
      </c>
      <c r="F63" s="186">
        <v>488.6</v>
      </c>
      <c r="G63" s="18"/>
      <c r="H63" s="186">
        <v>427</v>
      </c>
      <c r="I63" s="18"/>
      <c r="J63" s="18"/>
      <c r="K63" s="21">
        <v>3599</v>
      </c>
      <c r="L63" s="190">
        <v>0.127</v>
      </c>
      <c r="O63" s="95">
        <v>260</v>
      </c>
      <c r="P63" s="98">
        <v>72.900000000000006</v>
      </c>
      <c r="R63" s="95">
        <v>316</v>
      </c>
      <c r="S63" s="98">
        <v>84.5</v>
      </c>
      <c r="U63" s="18">
        <v>485.1</v>
      </c>
      <c r="V63" s="21">
        <v>1398</v>
      </c>
      <c r="W63" s="149">
        <v>0.12</v>
      </c>
    </row>
    <row r="64" spans="1:23" ht="17.25" thickBot="1">
      <c r="A64" s="213">
        <v>14.7</v>
      </c>
      <c r="B64" s="186">
        <v>488.8</v>
      </c>
      <c r="C64" s="186">
        <v>305.10000000000002</v>
      </c>
      <c r="D64" s="215">
        <v>448.2</v>
      </c>
      <c r="E64" s="186">
        <v>488.8</v>
      </c>
      <c r="F64" s="186">
        <v>489.7</v>
      </c>
      <c r="G64" s="18"/>
      <c r="H64" s="186">
        <v>427.9</v>
      </c>
      <c r="I64" s="18"/>
      <c r="J64" s="18"/>
      <c r="K64" s="21">
        <v>3699</v>
      </c>
      <c r="L64" s="190">
        <v>0.12300000000000001</v>
      </c>
      <c r="O64" s="95">
        <v>261</v>
      </c>
      <c r="P64" s="98">
        <v>72.5</v>
      </c>
      <c r="R64" s="95">
        <v>317</v>
      </c>
      <c r="S64" s="98">
        <v>84.2</v>
      </c>
      <c r="U64" s="18">
        <v>486</v>
      </c>
      <c r="V64" s="21">
        <v>1450</v>
      </c>
      <c r="W64" s="149">
        <v>0.115</v>
      </c>
    </row>
    <row r="65" spans="1:23" ht="17.25" thickBot="1">
      <c r="A65" s="213">
        <v>15</v>
      </c>
      <c r="B65" s="186">
        <v>489.7</v>
      </c>
      <c r="C65" s="186">
        <v>305.60000000000002</v>
      </c>
      <c r="D65" s="215">
        <v>449</v>
      </c>
      <c r="E65" s="186">
        <v>489.5</v>
      </c>
      <c r="F65" s="186">
        <v>490.6</v>
      </c>
      <c r="G65" s="18"/>
      <c r="H65" s="186">
        <v>428.7</v>
      </c>
      <c r="I65" s="18"/>
      <c r="J65" s="18"/>
      <c r="K65" s="21">
        <v>3799</v>
      </c>
      <c r="L65" s="190">
        <v>0.12</v>
      </c>
      <c r="O65" s="95">
        <v>262</v>
      </c>
      <c r="P65" s="98">
        <v>72.2</v>
      </c>
      <c r="R65" s="95">
        <v>318</v>
      </c>
      <c r="S65" s="98">
        <v>83.9</v>
      </c>
      <c r="U65" s="18">
        <v>487</v>
      </c>
      <c r="V65" s="21">
        <v>1499</v>
      </c>
      <c r="W65" s="149">
        <v>0.11</v>
      </c>
    </row>
    <row r="66" spans="1:23" ht="17.25" thickBot="1">
      <c r="A66" s="213">
        <v>15.3</v>
      </c>
      <c r="B66" s="186">
        <v>490.8</v>
      </c>
      <c r="C66" s="186">
        <v>306.2</v>
      </c>
      <c r="D66" s="215">
        <v>449.8</v>
      </c>
      <c r="E66" s="186">
        <v>490.3</v>
      </c>
      <c r="F66" s="186">
        <v>491.4</v>
      </c>
      <c r="G66" s="18"/>
      <c r="H66" s="186">
        <v>429.4</v>
      </c>
      <c r="I66" s="18"/>
      <c r="J66" s="18"/>
      <c r="K66" s="21">
        <v>3900</v>
      </c>
      <c r="L66" s="190">
        <v>0.11699999999999999</v>
      </c>
      <c r="O66" s="95">
        <v>263</v>
      </c>
      <c r="P66" s="98">
        <v>71.8</v>
      </c>
      <c r="R66" s="95">
        <v>319</v>
      </c>
      <c r="S66" s="98">
        <v>83.5</v>
      </c>
      <c r="U66" s="18">
        <v>488.1</v>
      </c>
      <c r="V66" s="21">
        <v>1549</v>
      </c>
      <c r="W66" s="149">
        <v>0.107</v>
      </c>
    </row>
    <row r="67" spans="1:23" ht="17.25" thickBot="1">
      <c r="A67" s="213">
        <v>15.7</v>
      </c>
      <c r="B67" s="186">
        <v>492</v>
      </c>
      <c r="C67" s="186">
        <v>306.8</v>
      </c>
      <c r="D67" s="215">
        <v>451.1</v>
      </c>
      <c r="E67" s="186">
        <v>491.6</v>
      </c>
      <c r="F67" s="186">
        <v>492.5</v>
      </c>
      <c r="G67" s="18"/>
      <c r="H67" s="186">
        <v>430.5</v>
      </c>
      <c r="I67" s="18"/>
      <c r="J67" s="18"/>
      <c r="K67" s="21">
        <v>3997</v>
      </c>
      <c r="L67" s="190">
        <v>0.113</v>
      </c>
      <c r="O67" s="95">
        <v>264</v>
      </c>
      <c r="P67" s="98">
        <v>71.5</v>
      </c>
      <c r="R67" s="95">
        <v>320</v>
      </c>
      <c r="S67" s="98">
        <v>83.2</v>
      </c>
      <c r="U67" s="20">
        <v>489.4</v>
      </c>
      <c r="V67" s="22">
        <v>1599</v>
      </c>
      <c r="W67" s="152">
        <v>0.10300000000000001</v>
      </c>
    </row>
    <row r="68" spans="1:23" ht="17.25" thickBot="1">
      <c r="A68" s="213">
        <v>16</v>
      </c>
      <c r="B68" s="186">
        <v>493</v>
      </c>
      <c r="C68" s="186">
        <v>307.5</v>
      </c>
      <c r="D68" s="215">
        <v>451.8</v>
      </c>
      <c r="E68" s="186">
        <v>492.6</v>
      </c>
      <c r="F68" s="186">
        <v>493.7</v>
      </c>
      <c r="G68" s="18"/>
      <c r="H68" s="186">
        <v>431.4</v>
      </c>
      <c r="I68" s="18"/>
      <c r="J68" s="18"/>
      <c r="K68" s="21">
        <v>4100</v>
      </c>
      <c r="L68" s="190">
        <v>0.11</v>
      </c>
      <c r="O68" s="95">
        <v>265</v>
      </c>
      <c r="P68" s="98">
        <v>70.7</v>
      </c>
      <c r="R68" s="95">
        <v>321</v>
      </c>
      <c r="S68" s="98">
        <v>82.9</v>
      </c>
      <c r="U68" s="18">
        <v>490.4</v>
      </c>
      <c r="V68" s="21">
        <v>1649</v>
      </c>
      <c r="W68" s="149">
        <v>0.1</v>
      </c>
    </row>
    <row r="69" spans="1:23" ht="17.25" thickBot="1">
      <c r="A69" s="213">
        <v>16.3</v>
      </c>
      <c r="B69" s="186">
        <v>494</v>
      </c>
      <c r="C69" s="186">
        <v>308.10000000000002</v>
      </c>
      <c r="D69" s="215">
        <v>452.8</v>
      </c>
      <c r="E69" s="186">
        <v>493.5</v>
      </c>
      <c r="F69" s="186">
        <v>494.4</v>
      </c>
      <c r="G69" s="24"/>
      <c r="H69" s="186">
        <v>432.4</v>
      </c>
      <c r="I69" s="24"/>
      <c r="J69" s="24"/>
      <c r="K69" s="27">
        <v>4198</v>
      </c>
      <c r="L69" s="190">
        <v>0.107</v>
      </c>
      <c r="O69" s="95">
        <v>266</v>
      </c>
      <c r="P69" s="98">
        <v>70</v>
      </c>
      <c r="R69" s="95">
        <v>322</v>
      </c>
      <c r="S69" s="98">
        <v>82.6</v>
      </c>
      <c r="U69" s="18">
        <v>491.2</v>
      </c>
      <c r="V69" s="21">
        <v>1700</v>
      </c>
      <c r="W69" s="149">
        <v>9.6999999999999989E-2</v>
      </c>
    </row>
    <row r="70" spans="1:23" ht="17.25" thickBot="1">
      <c r="A70" s="213">
        <v>16.7</v>
      </c>
      <c r="B70" s="186">
        <v>495.1</v>
      </c>
      <c r="C70" s="186">
        <v>308.7</v>
      </c>
      <c r="D70" s="215">
        <v>453.6</v>
      </c>
      <c r="E70" s="186">
        <v>494.3</v>
      </c>
      <c r="F70" s="186">
        <v>495.4</v>
      </c>
      <c r="G70" s="18"/>
      <c r="H70" s="186">
        <v>433.2</v>
      </c>
      <c r="I70" s="18"/>
      <c r="J70" s="18"/>
      <c r="K70" s="21">
        <v>4297</v>
      </c>
      <c r="L70" s="190">
        <v>0.10300000000000001</v>
      </c>
      <c r="O70" s="95">
        <v>267</v>
      </c>
      <c r="P70" s="98">
        <v>69.7</v>
      </c>
      <c r="R70" s="95">
        <v>323</v>
      </c>
      <c r="S70" s="98">
        <v>82.2</v>
      </c>
      <c r="U70" s="18">
        <v>491.9</v>
      </c>
      <c r="V70" s="21">
        <v>1749</v>
      </c>
      <c r="W70" s="149">
        <v>9.3000000000000013E-2</v>
      </c>
    </row>
    <row r="71" spans="1:23" ht="17.25" thickBot="1">
      <c r="A71" s="213">
        <v>17</v>
      </c>
      <c r="B71" s="186">
        <v>496.1</v>
      </c>
      <c r="C71" s="186">
        <v>309.39999999999998</v>
      </c>
      <c r="D71" s="215">
        <v>454.6</v>
      </c>
      <c r="E71" s="186">
        <v>495.6</v>
      </c>
      <c r="F71" s="186">
        <v>496.7</v>
      </c>
      <c r="G71" s="18"/>
      <c r="H71" s="186">
        <v>434.1</v>
      </c>
      <c r="I71" s="18"/>
      <c r="J71" s="18"/>
      <c r="K71" s="21">
        <v>4397</v>
      </c>
      <c r="L71" s="190">
        <v>0.1</v>
      </c>
      <c r="O71" s="95">
        <v>268</v>
      </c>
      <c r="P71" s="98">
        <v>69</v>
      </c>
      <c r="R71" s="95">
        <v>324</v>
      </c>
      <c r="S71" s="98">
        <v>81.900000000000006</v>
      </c>
      <c r="U71" s="18">
        <v>493</v>
      </c>
      <c r="V71" s="21">
        <v>1800</v>
      </c>
      <c r="W71" s="149">
        <v>0.09</v>
      </c>
    </row>
    <row r="72" spans="1:23" ht="17.25" thickBot="1">
      <c r="A72" s="213">
        <v>17.3</v>
      </c>
      <c r="B72" s="186">
        <v>497.2</v>
      </c>
      <c r="C72" s="186">
        <v>310.10000000000002</v>
      </c>
      <c r="D72" s="215">
        <v>456</v>
      </c>
      <c r="E72" s="186">
        <v>497</v>
      </c>
      <c r="F72" s="186">
        <v>497.9</v>
      </c>
      <c r="G72" s="18"/>
      <c r="H72" s="186">
        <v>435.1</v>
      </c>
      <c r="I72" s="18"/>
      <c r="J72" s="18"/>
      <c r="K72" s="21">
        <v>4497</v>
      </c>
      <c r="L72" s="190">
        <v>9.6999999999999989E-2</v>
      </c>
      <c r="O72" s="95">
        <v>269</v>
      </c>
      <c r="P72" s="98">
        <v>68.599999999999994</v>
      </c>
      <c r="R72" s="95">
        <v>325</v>
      </c>
      <c r="S72" s="98">
        <v>81.5</v>
      </c>
      <c r="U72" s="18">
        <v>494.3</v>
      </c>
      <c r="V72" s="21">
        <v>1849</v>
      </c>
      <c r="W72" s="149">
        <v>8.6999999999999994E-2</v>
      </c>
    </row>
    <row r="73" spans="1:23" ht="17.25" thickBot="1">
      <c r="A73" s="213">
        <v>17.7</v>
      </c>
      <c r="B73" s="186">
        <v>498</v>
      </c>
      <c r="C73" s="186">
        <v>310.8</v>
      </c>
      <c r="D73" s="215">
        <v>456.7</v>
      </c>
      <c r="E73" s="186">
        <v>497.7</v>
      </c>
      <c r="F73" s="186">
        <v>498.7</v>
      </c>
      <c r="G73" s="18"/>
      <c r="H73" s="186">
        <v>435.8</v>
      </c>
      <c r="I73" s="18"/>
      <c r="J73" s="18"/>
      <c r="K73" s="21">
        <v>4598</v>
      </c>
      <c r="L73" s="190">
        <v>9.3000000000000013E-2</v>
      </c>
      <c r="O73" s="95">
        <v>270</v>
      </c>
      <c r="P73" s="98">
        <v>68.3</v>
      </c>
      <c r="R73" s="95">
        <v>326</v>
      </c>
      <c r="S73" s="98">
        <v>81.2</v>
      </c>
      <c r="U73" s="18">
        <v>495.3</v>
      </c>
      <c r="V73" s="21">
        <v>1899</v>
      </c>
      <c r="W73" s="149">
        <v>8.3000000000000004E-2</v>
      </c>
    </row>
    <row r="74" spans="1:23" ht="17.25" thickBot="1">
      <c r="A74" s="213">
        <v>18</v>
      </c>
      <c r="B74" s="186">
        <v>498.8</v>
      </c>
      <c r="C74" s="186">
        <v>311.3</v>
      </c>
      <c r="D74" s="215">
        <v>457.3</v>
      </c>
      <c r="E74" s="186">
        <v>498.4</v>
      </c>
      <c r="F74" s="186">
        <v>499.6</v>
      </c>
      <c r="G74" s="18"/>
      <c r="H74" s="186">
        <v>436.6</v>
      </c>
      <c r="I74" s="18"/>
      <c r="J74" s="18"/>
      <c r="K74" s="21">
        <v>4700</v>
      </c>
      <c r="L74" s="190">
        <v>0.09</v>
      </c>
      <c r="O74" s="95">
        <v>271</v>
      </c>
      <c r="P74" s="98">
        <v>67.5</v>
      </c>
      <c r="R74" s="95">
        <v>327</v>
      </c>
      <c r="S74" s="98">
        <v>80.900000000000006</v>
      </c>
      <c r="U74" s="18">
        <v>496.3</v>
      </c>
      <c r="V74" s="21">
        <v>1948</v>
      </c>
      <c r="W74" s="149">
        <v>0.08</v>
      </c>
    </row>
    <row r="75" spans="1:23" ht="17.25" thickBot="1">
      <c r="A75" s="213">
        <v>18.5</v>
      </c>
      <c r="B75" s="186">
        <v>499.8</v>
      </c>
      <c r="C75" s="186">
        <v>311.8</v>
      </c>
      <c r="D75" s="215">
        <v>458.1</v>
      </c>
      <c r="E75" s="186">
        <v>499.4</v>
      </c>
      <c r="F75" s="186">
        <v>500.5</v>
      </c>
      <c r="G75" s="18"/>
      <c r="H75" s="186">
        <v>437.5</v>
      </c>
      <c r="I75" s="18"/>
      <c r="J75" s="18"/>
      <c r="K75" s="21">
        <v>4797</v>
      </c>
      <c r="L75" s="190">
        <v>8.6999999999999994E-2</v>
      </c>
      <c r="O75" s="95">
        <v>273</v>
      </c>
      <c r="P75" s="98">
        <v>66.7</v>
      </c>
      <c r="R75" s="95">
        <v>328</v>
      </c>
      <c r="S75" s="98">
        <v>80.5</v>
      </c>
      <c r="U75" s="24">
        <v>497.4</v>
      </c>
      <c r="V75" s="27">
        <v>1998</v>
      </c>
      <c r="W75" s="151">
        <v>7.6999999999999999E-2</v>
      </c>
    </row>
    <row r="76" spans="1:23" ht="17.25" thickBot="1">
      <c r="A76" s="213">
        <v>19</v>
      </c>
      <c r="B76" s="186">
        <v>501</v>
      </c>
      <c r="C76" s="186">
        <v>312.60000000000002</v>
      </c>
      <c r="D76" s="215">
        <v>459.3</v>
      </c>
      <c r="E76" s="186">
        <v>500.3</v>
      </c>
      <c r="F76" s="186">
        <v>501.6</v>
      </c>
      <c r="G76" s="18"/>
      <c r="H76" s="186">
        <v>438.4</v>
      </c>
      <c r="I76" s="18"/>
      <c r="J76" s="18"/>
      <c r="K76" s="21">
        <v>4900</v>
      </c>
      <c r="L76" s="190">
        <v>8.3000000000000004E-2</v>
      </c>
      <c r="O76" s="95">
        <v>274</v>
      </c>
      <c r="P76" s="98">
        <v>66</v>
      </c>
      <c r="R76" s="95">
        <v>329</v>
      </c>
      <c r="S76" s="98">
        <v>80.2</v>
      </c>
      <c r="U76" s="18">
        <v>498.4</v>
      </c>
      <c r="V76" s="21">
        <v>2049</v>
      </c>
      <c r="W76" s="149">
        <v>7.2999999999999995E-2</v>
      </c>
    </row>
    <row r="77" spans="1:23" ht="17.25" thickBot="1">
      <c r="A77" s="213">
        <v>19.5</v>
      </c>
      <c r="B77" s="186">
        <v>502</v>
      </c>
      <c r="C77" s="186">
        <v>313.10000000000002</v>
      </c>
      <c r="D77" s="215">
        <v>460</v>
      </c>
      <c r="E77" s="186">
        <v>501.7</v>
      </c>
      <c r="F77" s="186">
        <v>502.8</v>
      </c>
      <c r="G77" s="20"/>
      <c r="H77" s="186">
        <v>439.3</v>
      </c>
      <c r="I77" s="20"/>
      <c r="J77" s="20"/>
      <c r="K77" s="22">
        <v>4998</v>
      </c>
      <c r="L77" s="190">
        <v>0.08</v>
      </c>
      <c r="O77" s="95">
        <v>275</v>
      </c>
      <c r="P77" s="98">
        <v>65.599999999999994</v>
      </c>
      <c r="R77" s="95">
        <v>330</v>
      </c>
      <c r="S77" s="98">
        <v>79.8</v>
      </c>
      <c r="U77" s="18">
        <v>499.5</v>
      </c>
      <c r="V77" s="21">
        <v>2099</v>
      </c>
      <c r="W77" s="149">
        <v>7.0000000000000007E-2</v>
      </c>
    </row>
    <row r="78" spans="1:23" ht="17.25" thickBot="1">
      <c r="A78" s="213">
        <v>20</v>
      </c>
      <c r="B78" s="186">
        <v>503.1</v>
      </c>
      <c r="C78" s="186">
        <v>313.8</v>
      </c>
      <c r="D78" s="215">
        <v>461.1</v>
      </c>
      <c r="E78" s="186">
        <v>502.5</v>
      </c>
      <c r="F78" s="186">
        <v>503.8</v>
      </c>
      <c r="G78" s="18"/>
      <c r="H78" s="186">
        <v>440.1</v>
      </c>
      <c r="I78" s="18"/>
      <c r="J78" s="18"/>
      <c r="K78" s="21">
        <v>5196</v>
      </c>
      <c r="L78" s="190">
        <v>7.6999999999999999E-2</v>
      </c>
      <c r="O78" s="95">
        <v>276</v>
      </c>
      <c r="P78" s="98">
        <v>64.5</v>
      </c>
      <c r="R78" s="95">
        <v>331</v>
      </c>
      <c r="S78" s="98">
        <v>79.5</v>
      </c>
      <c r="U78" s="18">
        <v>500.5</v>
      </c>
      <c r="V78" s="21">
        <v>2150</v>
      </c>
      <c r="W78" s="149">
        <v>6.7000000000000004E-2</v>
      </c>
    </row>
    <row r="79" spans="1:23" ht="17.25" thickBot="1">
      <c r="A79" s="213">
        <v>20.5</v>
      </c>
      <c r="B79" s="186">
        <v>504</v>
      </c>
      <c r="C79" s="186">
        <v>314.3</v>
      </c>
      <c r="D79" s="215">
        <v>461.7</v>
      </c>
      <c r="E79" s="186">
        <v>503.4</v>
      </c>
      <c r="F79" s="186">
        <v>504.5</v>
      </c>
      <c r="G79" s="18"/>
      <c r="H79" s="186">
        <v>440.8</v>
      </c>
      <c r="I79" s="18"/>
      <c r="J79" s="18"/>
      <c r="K79" s="21">
        <v>5398</v>
      </c>
      <c r="L79" s="190">
        <v>7.2999999999999995E-2</v>
      </c>
      <c r="O79" s="95">
        <v>277</v>
      </c>
      <c r="P79" s="98">
        <v>64.099999999999994</v>
      </c>
      <c r="R79" s="95">
        <v>332</v>
      </c>
      <c r="S79" s="98">
        <v>79.2</v>
      </c>
      <c r="U79" s="18">
        <v>501.2</v>
      </c>
      <c r="V79" s="21">
        <v>2199</v>
      </c>
      <c r="W79" s="149">
        <v>6.3E-2</v>
      </c>
    </row>
    <row r="80" spans="1:23" ht="17.25" thickBot="1">
      <c r="A80" s="213">
        <v>21</v>
      </c>
      <c r="B80" s="186">
        <v>505</v>
      </c>
      <c r="C80" s="186">
        <v>314.89999999999998</v>
      </c>
      <c r="D80" s="215">
        <v>462.7</v>
      </c>
      <c r="E80" s="186">
        <v>504.3</v>
      </c>
      <c r="F80" s="186">
        <v>505.5</v>
      </c>
      <c r="G80" s="18"/>
      <c r="H80" s="186">
        <v>441.8</v>
      </c>
      <c r="I80" s="18"/>
      <c r="J80" s="18"/>
      <c r="K80" s="21">
        <v>5597</v>
      </c>
      <c r="L80" s="190">
        <v>7.0000000000000007E-2</v>
      </c>
      <c r="O80" s="95">
        <v>278</v>
      </c>
      <c r="P80" s="98">
        <v>63.7</v>
      </c>
      <c r="R80" s="95">
        <v>333</v>
      </c>
      <c r="S80" s="98">
        <v>78.8</v>
      </c>
      <c r="U80" s="18">
        <v>502</v>
      </c>
      <c r="V80" s="21">
        <v>2248</v>
      </c>
      <c r="W80" s="149">
        <v>0.06</v>
      </c>
    </row>
    <row r="81" spans="1:23" ht="17.25" thickBot="1">
      <c r="A81" s="213">
        <v>21.3</v>
      </c>
      <c r="B81" s="186">
        <v>505.9</v>
      </c>
      <c r="C81" s="186">
        <v>315.5</v>
      </c>
      <c r="D81" s="215">
        <v>463.5</v>
      </c>
      <c r="E81" s="186">
        <v>505.3</v>
      </c>
      <c r="F81" s="186">
        <v>506.5</v>
      </c>
      <c r="G81" s="18"/>
      <c r="H81" s="186">
        <v>442.6</v>
      </c>
      <c r="I81" s="18"/>
      <c r="J81" s="18"/>
      <c r="K81" s="21">
        <v>5797</v>
      </c>
      <c r="L81" s="190">
        <v>6.7000000000000004E-2</v>
      </c>
      <c r="O81" s="95">
        <v>279</v>
      </c>
      <c r="P81" s="98">
        <v>63</v>
      </c>
      <c r="R81" s="95">
        <v>334</v>
      </c>
      <c r="S81" s="98">
        <v>78.5</v>
      </c>
      <c r="U81" s="18">
        <v>503</v>
      </c>
      <c r="V81" s="21">
        <v>2299</v>
      </c>
      <c r="W81" s="149">
        <v>5.7000000000000002E-2</v>
      </c>
    </row>
    <row r="82" spans="1:23" ht="17.25" thickBot="1">
      <c r="A82" s="213">
        <v>21.7</v>
      </c>
      <c r="B82" s="186">
        <v>506.8</v>
      </c>
      <c r="C82" s="186">
        <v>316.3</v>
      </c>
      <c r="D82" s="215">
        <v>464.8</v>
      </c>
      <c r="E82" s="186">
        <v>506.5</v>
      </c>
      <c r="F82" s="186">
        <v>507.7</v>
      </c>
      <c r="G82" s="18"/>
      <c r="H82" s="186">
        <v>443.6</v>
      </c>
      <c r="I82" s="18"/>
      <c r="J82" s="18"/>
      <c r="K82" s="21">
        <v>5998</v>
      </c>
      <c r="L82" s="190">
        <v>6.3E-2</v>
      </c>
      <c r="O82" s="95">
        <v>280</v>
      </c>
      <c r="P82" s="98">
        <v>62.6</v>
      </c>
      <c r="R82" s="95">
        <v>335</v>
      </c>
      <c r="S82" s="98">
        <v>78.099999999999994</v>
      </c>
      <c r="U82" s="18">
        <v>504.1</v>
      </c>
      <c r="V82" s="21">
        <v>2348</v>
      </c>
      <c r="W82" s="149">
        <v>5.2999999999999999E-2</v>
      </c>
    </row>
    <row r="83" spans="1:23" ht="17.25" thickBot="1">
      <c r="A83" s="213">
        <v>22</v>
      </c>
      <c r="B83" s="186">
        <v>507.7</v>
      </c>
      <c r="C83" s="186">
        <v>316.89999999999998</v>
      </c>
      <c r="D83" s="215">
        <v>465.6</v>
      </c>
      <c r="E83" s="186">
        <v>507.8</v>
      </c>
      <c r="F83" s="186">
        <v>508.9</v>
      </c>
      <c r="G83" s="18"/>
      <c r="H83" s="186">
        <v>444.6</v>
      </c>
      <c r="I83" s="18"/>
      <c r="J83" s="18"/>
      <c r="K83" s="21">
        <v>6199</v>
      </c>
      <c r="L83" s="190">
        <v>0.06</v>
      </c>
      <c r="O83" s="96">
        <v>281</v>
      </c>
      <c r="P83" s="98">
        <v>62.2</v>
      </c>
      <c r="R83" s="95">
        <v>336</v>
      </c>
      <c r="S83" s="98">
        <v>77.8</v>
      </c>
      <c r="U83" s="20">
        <v>505</v>
      </c>
      <c r="V83" s="22">
        <v>2400</v>
      </c>
      <c r="W83" s="152">
        <v>0.05</v>
      </c>
    </row>
    <row r="84" spans="1:23" ht="17.25" thickBot="1">
      <c r="A84" s="213">
        <v>22.5</v>
      </c>
      <c r="B84" s="186">
        <v>508.7</v>
      </c>
      <c r="C84" s="186">
        <v>317.5</v>
      </c>
      <c r="D84" s="215">
        <v>466.5</v>
      </c>
      <c r="E84" s="186">
        <v>508.8</v>
      </c>
      <c r="F84" s="186">
        <v>510.1</v>
      </c>
      <c r="G84" s="18"/>
      <c r="H84" s="186">
        <v>445.6</v>
      </c>
      <c r="I84" s="18"/>
      <c r="J84" s="18"/>
      <c r="K84" s="21">
        <v>6400</v>
      </c>
      <c r="L84" s="190">
        <v>5.7000000000000002E-2</v>
      </c>
      <c r="O84" s="95">
        <v>283</v>
      </c>
      <c r="P84" s="98">
        <v>61.9</v>
      </c>
      <c r="R84" s="95">
        <v>337</v>
      </c>
      <c r="S84" s="98">
        <v>77.400000000000006</v>
      </c>
      <c r="U84" s="18">
        <v>506</v>
      </c>
      <c r="V84" s="21">
        <v>2450</v>
      </c>
      <c r="W84" s="149">
        <v>4.7E-2</v>
      </c>
    </row>
    <row r="85" spans="1:23" ht="17.25" thickBot="1">
      <c r="A85" s="213">
        <v>23</v>
      </c>
      <c r="B85" s="186">
        <v>509.9</v>
      </c>
      <c r="C85" s="186">
        <v>318.3</v>
      </c>
      <c r="D85" s="215">
        <v>467.7</v>
      </c>
      <c r="E85" s="186">
        <v>510.1</v>
      </c>
      <c r="F85" s="186">
        <v>511.4</v>
      </c>
      <c r="G85" s="18"/>
      <c r="H85" s="186">
        <v>446.7</v>
      </c>
      <c r="I85" s="18"/>
      <c r="J85" s="18"/>
      <c r="K85" s="21">
        <v>6594</v>
      </c>
      <c r="L85" s="190">
        <v>5.2999999999999999E-2</v>
      </c>
      <c r="O85" s="95">
        <v>284</v>
      </c>
      <c r="P85" s="98">
        <v>61.1</v>
      </c>
      <c r="R85" s="95">
        <v>338</v>
      </c>
      <c r="S85" s="98">
        <v>77.099999999999994</v>
      </c>
      <c r="U85" s="18">
        <v>507.2</v>
      </c>
      <c r="V85" s="21">
        <v>2500</v>
      </c>
      <c r="W85" s="149">
        <v>4.4999999999999998E-2</v>
      </c>
    </row>
    <row r="86" spans="1:23" ht="17.25" thickBot="1">
      <c r="A86" s="213">
        <v>23.5</v>
      </c>
      <c r="B86" s="186">
        <v>511</v>
      </c>
      <c r="C86" s="186">
        <v>318.89999999999998</v>
      </c>
      <c r="D86" s="215">
        <v>468.6</v>
      </c>
      <c r="E86" s="186">
        <v>511.1</v>
      </c>
      <c r="F86" s="186">
        <v>512.5</v>
      </c>
      <c r="G86" s="20"/>
      <c r="H86" s="186">
        <v>447.8</v>
      </c>
      <c r="I86" s="20"/>
      <c r="J86" s="20"/>
      <c r="K86" s="22">
        <v>6794</v>
      </c>
      <c r="L86" s="190">
        <v>0.05</v>
      </c>
      <c r="O86" s="95">
        <v>285</v>
      </c>
      <c r="P86" s="98">
        <v>60.8</v>
      </c>
      <c r="R86" s="95">
        <v>339</v>
      </c>
      <c r="S86" s="98">
        <v>76.7</v>
      </c>
      <c r="U86" s="18">
        <v>508.5</v>
      </c>
      <c r="V86" s="21">
        <v>2598</v>
      </c>
      <c r="W86" s="149">
        <v>4.2999999999999997E-2</v>
      </c>
    </row>
    <row r="87" spans="1:23" ht="17.25" thickBot="1">
      <c r="A87" s="213">
        <v>24</v>
      </c>
      <c r="B87" s="186">
        <v>512</v>
      </c>
      <c r="C87" s="186">
        <v>319.5</v>
      </c>
      <c r="D87" s="215">
        <v>469.4</v>
      </c>
      <c r="E87" s="186">
        <v>512.20000000000005</v>
      </c>
      <c r="F87" s="186">
        <v>513.5</v>
      </c>
      <c r="G87" s="18"/>
      <c r="H87" s="186">
        <v>448.8</v>
      </c>
      <c r="I87" s="18"/>
      <c r="J87" s="18"/>
      <c r="K87" s="21">
        <v>6999</v>
      </c>
      <c r="L87" s="190">
        <v>4.7E-2</v>
      </c>
      <c r="O87" s="95">
        <v>286</v>
      </c>
      <c r="P87" s="98">
        <v>60.4</v>
      </c>
      <c r="R87" s="95">
        <v>340</v>
      </c>
      <c r="S87" s="98">
        <v>76.400000000000006</v>
      </c>
      <c r="U87" s="18">
        <v>509.4</v>
      </c>
      <c r="V87" s="21">
        <v>2700</v>
      </c>
      <c r="W87" s="149">
        <v>0.04</v>
      </c>
    </row>
    <row r="88" spans="1:23" ht="17.25" thickBot="1">
      <c r="A88" s="213">
        <v>24.5</v>
      </c>
      <c r="B88" s="186">
        <v>513.1</v>
      </c>
      <c r="C88" s="186">
        <v>320.3</v>
      </c>
      <c r="D88" s="215">
        <v>470.7</v>
      </c>
      <c r="E88" s="186">
        <v>513.20000000000005</v>
      </c>
      <c r="F88" s="186">
        <v>514.5</v>
      </c>
      <c r="G88" s="18"/>
      <c r="H88" s="186">
        <v>449.8</v>
      </c>
      <c r="I88" s="18"/>
      <c r="J88" s="18"/>
      <c r="K88" s="21">
        <v>7195</v>
      </c>
      <c r="L88" s="190">
        <v>4.2999999999999997E-2</v>
      </c>
      <c r="O88" s="95">
        <v>287</v>
      </c>
      <c r="P88" s="98">
        <v>59.499999999999936</v>
      </c>
      <c r="R88" s="95">
        <v>341</v>
      </c>
      <c r="S88" s="98">
        <v>76</v>
      </c>
      <c r="U88" s="18">
        <v>510.6</v>
      </c>
      <c r="V88" s="21">
        <v>2800</v>
      </c>
      <c r="W88" s="149">
        <v>3.7999999999999999E-2</v>
      </c>
    </row>
    <row r="89" spans="1:23" ht="17.25" thickBot="1">
      <c r="A89" s="213">
        <v>25</v>
      </c>
      <c r="B89" s="186">
        <v>514</v>
      </c>
      <c r="C89" s="186">
        <v>320.89999999999998</v>
      </c>
      <c r="D89" s="215">
        <v>471.4</v>
      </c>
      <c r="E89" s="186">
        <v>514.1</v>
      </c>
      <c r="F89" s="186">
        <v>515.4</v>
      </c>
      <c r="G89" s="18"/>
      <c r="H89" s="186">
        <v>450.9</v>
      </c>
      <c r="I89" s="18"/>
      <c r="J89" s="18"/>
      <c r="K89" s="21">
        <v>7397</v>
      </c>
      <c r="L89" s="190">
        <v>0.04</v>
      </c>
      <c r="O89" s="95">
        <v>288</v>
      </c>
      <c r="P89" s="98">
        <v>59.099999999999937</v>
      </c>
      <c r="R89" s="95">
        <v>342</v>
      </c>
      <c r="S89" s="98">
        <v>75.7</v>
      </c>
      <c r="U89" s="18">
        <v>511.6</v>
      </c>
      <c r="V89" s="21">
        <v>2898</v>
      </c>
      <c r="W89" s="149">
        <v>3.6000000000000004E-2</v>
      </c>
    </row>
    <row r="90" spans="1:23" ht="17.25" thickBot="1">
      <c r="A90" s="213">
        <v>25.5</v>
      </c>
      <c r="B90" s="186">
        <v>515</v>
      </c>
      <c r="C90" s="186">
        <v>321.39999999999998</v>
      </c>
      <c r="D90" s="215">
        <v>472.1</v>
      </c>
      <c r="E90" s="186">
        <v>515.20000000000005</v>
      </c>
      <c r="F90" s="186">
        <v>516.20000000000005</v>
      </c>
      <c r="G90" s="18"/>
      <c r="H90" s="186">
        <v>451.8</v>
      </c>
      <c r="I90" s="18"/>
      <c r="J90" s="18"/>
      <c r="K90" s="21">
        <v>7596</v>
      </c>
      <c r="L90" s="190">
        <v>3.7000000000000005E-2</v>
      </c>
      <c r="O90" s="95">
        <v>289</v>
      </c>
      <c r="P90" s="98">
        <v>58.699999999999939</v>
      </c>
      <c r="R90" s="95">
        <v>343</v>
      </c>
      <c r="S90" s="98">
        <v>75.3</v>
      </c>
      <c r="U90" s="18">
        <v>512.5</v>
      </c>
      <c r="V90" s="21">
        <v>3000</v>
      </c>
      <c r="W90" s="149">
        <v>3.4000000000000002E-2</v>
      </c>
    </row>
    <row r="91" spans="1:23" ht="17.25" thickBot="1">
      <c r="A91" s="213">
        <v>26</v>
      </c>
      <c r="B91" s="186">
        <v>516.20000000000005</v>
      </c>
      <c r="C91" s="186">
        <v>322.10000000000002</v>
      </c>
      <c r="D91" s="215">
        <v>473.1</v>
      </c>
      <c r="E91" s="186">
        <v>516.29999999999995</v>
      </c>
      <c r="F91" s="186">
        <v>517.70000000000005</v>
      </c>
      <c r="G91" s="18"/>
      <c r="H91" s="186">
        <v>452.7</v>
      </c>
      <c r="I91" s="18"/>
      <c r="J91" s="18"/>
      <c r="K91" s="21">
        <v>7793</v>
      </c>
      <c r="L91" s="190">
        <v>3.5000000000000003E-2</v>
      </c>
      <c r="O91" s="95">
        <v>290</v>
      </c>
      <c r="P91" s="98">
        <v>57.899999999999942</v>
      </c>
      <c r="R91" s="95">
        <v>344</v>
      </c>
      <c r="S91" s="98">
        <v>75</v>
      </c>
      <c r="U91" s="24">
        <v>513.1</v>
      </c>
      <c r="V91" s="27">
        <v>3098</v>
      </c>
      <c r="W91" s="151">
        <v>3.2000000000000001E-2</v>
      </c>
    </row>
    <row r="92" spans="1:23" ht="17.25" thickBot="1">
      <c r="A92" s="213">
        <v>26.5</v>
      </c>
      <c r="B92" s="186">
        <v>517.20000000000005</v>
      </c>
      <c r="C92" s="186">
        <v>322.89999999999998</v>
      </c>
      <c r="D92" s="215">
        <v>474.4</v>
      </c>
      <c r="E92" s="186">
        <v>517.5</v>
      </c>
      <c r="F92" s="186">
        <v>518.70000000000005</v>
      </c>
      <c r="G92" s="18"/>
      <c r="H92" s="186">
        <v>453.6</v>
      </c>
      <c r="I92" s="18"/>
      <c r="J92" s="18"/>
      <c r="K92" s="21">
        <v>7995</v>
      </c>
      <c r="L92" s="190">
        <v>3.3000000000000002E-2</v>
      </c>
      <c r="O92" s="95">
        <v>291</v>
      </c>
      <c r="P92" s="98">
        <v>57.499999999999943</v>
      </c>
      <c r="R92" s="95">
        <v>345</v>
      </c>
      <c r="S92" s="98">
        <v>74.599999999999994</v>
      </c>
      <c r="U92" s="23">
        <v>514</v>
      </c>
      <c r="V92" s="25">
        <v>3200</v>
      </c>
      <c r="W92" s="150">
        <v>0.03</v>
      </c>
    </row>
    <row r="93" spans="1:23" ht="17.25" thickBot="1">
      <c r="A93" s="213">
        <v>27</v>
      </c>
      <c r="B93" s="186">
        <v>518.1</v>
      </c>
      <c r="C93" s="186">
        <v>323.5</v>
      </c>
      <c r="D93" s="215">
        <v>475.3</v>
      </c>
      <c r="E93" s="186">
        <v>518.70000000000005</v>
      </c>
      <c r="F93" s="186">
        <v>519.70000000000005</v>
      </c>
      <c r="G93" s="18"/>
      <c r="H93" s="186">
        <v>454.2</v>
      </c>
      <c r="I93" s="18"/>
      <c r="J93" s="18"/>
      <c r="K93" s="21">
        <v>8193</v>
      </c>
      <c r="L93" s="190">
        <v>0.03</v>
      </c>
      <c r="O93" s="95">
        <v>292</v>
      </c>
      <c r="P93" s="98">
        <v>56.5</v>
      </c>
      <c r="R93" s="95">
        <v>346</v>
      </c>
      <c r="S93" s="98">
        <v>74.2</v>
      </c>
      <c r="U93" s="18">
        <v>515</v>
      </c>
      <c r="V93" s="21">
        <v>3299</v>
      </c>
      <c r="W93" s="149">
        <v>2.7999999999999997E-2</v>
      </c>
    </row>
    <row r="94" spans="1:23" ht="17.25" thickBot="1">
      <c r="A94" s="213">
        <v>27.5</v>
      </c>
      <c r="B94" s="186">
        <v>519.29999999999995</v>
      </c>
      <c r="C94" s="186">
        <v>324.10000000000002</v>
      </c>
      <c r="D94" s="215">
        <v>476.4</v>
      </c>
      <c r="E94" s="186">
        <v>519.9</v>
      </c>
      <c r="F94" s="186">
        <v>521.20000000000005</v>
      </c>
      <c r="G94" s="20"/>
      <c r="H94" s="186">
        <v>455.1</v>
      </c>
      <c r="I94" s="20"/>
      <c r="J94" s="20"/>
      <c r="K94" s="22">
        <v>8396</v>
      </c>
      <c r="L94" s="190">
        <v>2.7000000000000003E-2</v>
      </c>
      <c r="O94" s="95">
        <v>293</v>
      </c>
      <c r="P94" s="98">
        <v>56</v>
      </c>
      <c r="R94" s="95">
        <v>347</v>
      </c>
      <c r="S94" s="98">
        <v>73.900000000000006</v>
      </c>
      <c r="U94" s="18">
        <v>516</v>
      </c>
      <c r="V94" s="21">
        <v>3400</v>
      </c>
      <c r="W94" s="149">
        <v>2.6000000000000002E-2</v>
      </c>
    </row>
    <row r="95" spans="1:23" ht="17.25" thickBot="1">
      <c r="A95" s="213">
        <v>28</v>
      </c>
      <c r="B95" s="186">
        <v>520.5</v>
      </c>
      <c r="C95" s="186">
        <v>324.8</v>
      </c>
      <c r="D95" s="215">
        <v>477.3</v>
      </c>
      <c r="E95" s="186">
        <v>520.79999999999995</v>
      </c>
      <c r="F95" s="186">
        <v>522</v>
      </c>
      <c r="G95" s="18"/>
      <c r="H95" s="186">
        <v>456</v>
      </c>
      <c r="I95" s="18"/>
      <c r="J95" s="18"/>
      <c r="K95" s="21">
        <v>8595</v>
      </c>
      <c r="L95" s="190">
        <v>2.5000000000000001E-2</v>
      </c>
      <c r="O95" s="95">
        <v>294</v>
      </c>
      <c r="P95" s="98">
        <v>55</v>
      </c>
      <c r="R95" s="95">
        <v>348</v>
      </c>
      <c r="S95" s="98">
        <v>73.5</v>
      </c>
      <c r="U95" s="18">
        <v>517.29999999999995</v>
      </c>
      <c r="V95" s="21">
        <v>3499</v>
      </c>
      <c r="W95" s="149">
        <v>2.5000000000000001E-2</v>
      </c>
    </row>
    <row r="96" spans="1:23" ht="17.25" thickBot="1">
      <c r="A96" s="213">
        <v>28.5</v>
      </c>
      <c r="B96" s="186">
        <v>521.5</v>
      </c>
      <c r="C96" s="186">
        <v>325.5</v>
      </c>
      <c r="D96" s="215">
        <v>478.3</v>
      </c>
      <c r="E96" s="186">
        <v>521.70000000000005</v>
      </c>
      <c r="F96" s="186">
        <v>523</v>
      </c>
      <c r="G96" s="18"/>
      <c r="H96" s="186">
        <v>457</v>
      </c>
      <c r="I96" s="18"/>
      <c r="J96" s="18"/>
      <c r="K96" s="21">
        <v>8799</v>
      </c>
      <c r="L96" s="190">
        <v>2.3E-2</v>
      </c>
      <c r="O96" s="95">
        <v>295</v>
      </c>
      <c r="P96" s="98">
        <v>54.5</v>
      </c>
      <c r="R96" s="95">
        <v>349</v>
      </c>
      <c r="S96" s="98">
        <v>73.2</v>
      </c>
      <c r="U96" s="18">
        <v>518.29999999999995</v>
      </c>
      <c r="V96" s="21">
        <v>3598</v>
      </c>
      <c r="W96" s="149">
        <v>2.4E-2</v>
      </c>
    </row>
    <row r="97" spans="1:23" ht="17.25" thickBot="1">
      <c r="A97" s="213">
        <v>29</v>
      </c>
      <c r="B97" s="186">
        <v>522.6</v>
      </c>
      <c r="C97" s="186">
        <v>326.10000000000002</v>
      </c>
      <c r="D97" s="215">
        <v>479.4</v>
      </c>
      <c r="E97" s="186">
        <v>522.9</v>
      </c>
      <c r="F97" s="186">
        <v>524.20000000000005</v>
      </c>
      <c r="G97" s="18"/>
      <c r="H97" s="186">
        <v>458</v>
      </c>
      <c r="I97" s="18"/>
      <c r="J97" s="18"/>
      <c r="K97" s="21">
        <v>8998</v>
      </c>
      <c r="L97" s="190">
        <v>0.02</v>
      </c>
      <c r="O97" s="95">
        <v>296</v>
      </c>
      <c r="P97" s="98">
        <v>54</v>
      </c>
      <c r="R97" s="95">
        <v>350</v>
      </c>
      <c r="S97" s="98">
        <v>72.900000000000006</v>
      </c>
      <c r="U97" s="18">
        <v>519.70000000000005</v>
      </c>
      <c r="V97" s="21">
        <v>3699</v>
      </c>
      <c r="W97" s="149">
        <v>2.2000000000000002E-2</v>
      </c>
    </row>
    <row r="98" spans="1:23" ht="17.25" thickBot="1">
      <c r="A98" s="213">
        <v>29.5</v>
      </c>
      <c r="B98" s="186">
        <v>523.4</v>
      </c>
      <c r="C98" s="186">
        <v>326.7</v>
      </c>
      <c r="D98" s="215">
        <v>480.2</v>
      </c>
      <c r="E98" s="186">
        <v>523.9</v>
      </c>
      <c r="F98" s="186">
        <v>525.20000000000005</v>
      </c>
      <c r="G98" s="18"/>
      <c r="H98" s="186">
        <v>459</v>
      </c>
      <c r="I98" s="18"/>
      <c r="J98" s="18"/>
      <c r="K98" s="21">
        <v>9193</v>
      </c>
      <c r="L98" s="190">
        <v>1.8000000000000002E-2</v>
      </c>
      <c r="O98" s="95">
        <v>297</v>
      </c>
      <c r="P98" s="98">
        <v>53</v>
      </c>
      <c r="R98" s="95">
        <v>351</v>
      </c>
      <c r="S98" s="98">
        <v>72.5</v>
      </c>
      <c r="U98" s="18">
        <v>521</v>
      </c>
      <c r="V98" s="21">
        <v>3798</v>
      </c>
      <c r="W98" s="149">
        <v>0.02</v>
      </c>
    </row>
    <row r="99" spans="1:23" ht="17.25" thickBot="1">
      <c r="A99" s="213">
        <v>30</v>
      </c>
      <c r="B99" s="186">
        <v>524.20000000000005</v>
      </c>
      <c r="C99" s="186">
        <v>327.39999999999998</v>
      </c>
      <c r="D99" s="215">
        <v>481</v>
      </c>
      <c r="E99" s="186">
        <v>525</v>
      </c>
      <c r="F99" s="186">
        <v>526.1</v>
      </c>
      <c r="G99" s="18"/>
      <c r="H99" s="186">
        <v>460</v>
      </c>
      <c r="I99" s="18"/>
      <c r="J99" s="18"/>
      <c r="K99" s="21">
        <v>9400</v>
      </c>
      <c r="L99" s="190">
        <v>1.6E-2</v>
      </c>
      <c r="O99" s="95">
        <v>298</v>
      </c>
      <c r="P99" s="98">
        <v>52</v>
      </c>
      <c r="R99" s="95">
        <v>352</v>
      </c>
      <c r="S99" s="98">
        <v>72.2</v>
      </c>
      <c r="U99" s="24">
        <v>522</v>
      </c>
      <c r="V99" s="27">
        <v>3900</v>
      </c>
      <c r="W99" s="151">
        <v>1.8000000000000002E-2</v>
      </c>
    </row>
    <row r="100" spans="1:23" ht="17.25" thickBot="1">
      <c r="A100" s="213">
        <v>30.5</v>
      </c>
      <c r="B100" s="186">
        <v>525.1</v>
      </c>
      <c r="C100" s="186">
        <v>328.1</v>
      </c>
      <c r="D100" s="215">
        <v>482</v>
      </c>
      <c r="E100" s="186">
        <v>526</v>
      </c>
      <c r="F100" s="186">
        <v>527</v>
      </c>
      <c r="G100" s="18"/>
      <c r="H100" s="186">
        <v>461</v>
      </c>
      <c r="I100" s="18"/>
      <c r="J100" s="18"/>
      <c r="K100" s="21">
        <v>9594</v>
      </c>
      <c r="L100" s="190">
        <v>1.3999999999999999E-2</v>
      </c>
      <c r="O100" s="95">
        <v>299</v>
      </c>
      <c r="P100" s="98">
        <v>51.5</v>
      </c>
      <c r="R100" s="95">
        <v>353</v>
      </c>
      <c r="S100" s="98">
        <v>71.8</v>
      </c>
      <c r="U100" s="23">
        <v>522.79999999999995</v>
      </c>
      <c r="V100" s="25">
        <v>3998</v>
      </c>
      <c r="W100" s="150">
        <v>1.6E-2</v>
      </c>
    </row>
    <row r="101" spans="1:23" ht="17.25" thickBot="1">
      <c r="A101" s="213">
        <v>31</v>
      </c>
      <c r="B101" s="186">
        <v>526.20000000000005</v>
      </c>
      <c r="C101" s="186">
        <v>328.8</v>
      </c>
      <c r="D101" s="215">
        <v>483</v>
      </c>
      <c r="E101" s="186">
        <v>526.9</v>
      </c>
      <c r="F101" s="186">
        <v>528</v>
      </c>
      <c r="G101" s="18"/>
      <c r="H101" s="186">
        <v>462</v>
      </c>
      <c r="I101" s="18"/>
      <c r="J101" s="18"/>
      <c r="K101" s="21">
        <v>9800</v>
      </c>
      <c r="L101" s="190">
        <v>1.2E-2</v>
      </c>
      <c r="O101" s="95">
        <v>300</v>
      </c>
      <c r="P101" s="98">
        <v>51</v>
      </c>
      <c r="R101" s="95">
        <v>354</v>
      </c>
      <c r="S101" s="98">
        <v>71.5</v>
      </c>
      <c r="U101" s="18">
        <v>523.6</v>
      </c>
      <c r="V101" s="21">
        <v>4099</v>
      </c>
      <c r="W101" s="149">
        <v>1.4999999999999999E-2</v>
      </c>
    </row>
    <row r="102" spans="1:23" ht="17.25" thickBot="1">
      <c r="A102" s="213">
        <v>31.5</v>
      </c>
      <c r="B102" s="186">
        <v>527.29999999999995</v>
      </c>
      <c r="C102" s="186">
        <v>329.5</v>
      </c>
      <c r="D102" s="215">
        <v>484</v>
      </c>
      <c r="E102" s="186">
        <v>528.4</v>
      </c>
      <c r="F102" s="186">
        <v>529.5</v>
      </c>
      <c r="G102" s="18"/>
      <c r="H102" s="186">
        <v>463</v>
      </c>
      <c r="I102" s="18"/>
      <c r="J102" s="18"/>
      <c r="K102" s="21">
        <v>9992</v>
      </c>
      <c r="L102" s="190">
        <v>0.01</v>
      </c>
      <c r="O102" s="95">
        <v>301</v>
      </c>
      <c r="P102" s="98">
        <v>50.5</v>
      </c>
      <c r="R102" s="95">
        <v>355</v>
      </c>
      <c r="S102" s="98">
        <v>71.099999999999994</v>
      </c>
      <c r="U102" s="18">
        <v>524.29999999999995</v>
      </c>
      <c r="V102" s="21">
        <v>4198</v>
      </c>
      <c r="W102" s="149">
        <v>1.3999999999999999E-2</v>
      </c>
    </row>
    <row r="103" spans="1:23">
      <c r="A103" s="213">
        <v>32</v>
      </c>
      <c r="B103" s="186">
        <v>528.4</v>
      </c>
      <c r="C103" s="186">
        <v>330.2</v>
      </c>
      <c r="D103" s="215">
        <v>485</v>
      </c>
      <c r="E103" s="186">
        <v>529.5</v>
      </c>
      <c r="F103" s="186">
        <v>530.70000000000005</v>
      </c>
      <c r="G103" s="142"/>
      <c r="H103" s="186">
        <v>464</v>
      </c>
      <c r="I103" s="142"/>
      <c r="J103" s="142"/>
      <c r="K103" s="145">
        <v>10197</v>
      </c>
      <c r="L103" s="190">
        <v>8.0000000000000002E-3</v>
      </c>
      <c r="O103" s="95">
        <v>302</v>
      </c>
      <c r="P103" s="98">
        <v>49.5</v>
      </c>
      <c r="R103" s="95">
        <v>356</v>
      </c>
      <c r="S103" s="98">
        <v>70.7</v>
      </c>
      <c r="U103" s="141">
        <v>525.20000000000005</v>
      </c>
      <c r="V103" s="144">
        <v>4298</v>
      </c>
      <c r="W103" s="153">
        <v>1.2E-2</v>
      </c>
    </row>
    <row r="104" spans="1:23">
      <c r="A104" s="213">
        <v>32.5</v>
      </c>
      <c r="B104" s="186">
        <v>529.4</v>
      </c>
      <c r="C104" s="186">
        <v>330.9</v>
      </c>
      <c r="D104" s="215">
        <v>486</v>
      </c>
      <c r="E104" s="186">
        <v>530.5</v>
      </c>
      <c r="F104" s="186">
        <v>531.79999999999995</v>
      </c>
      <c r="G104" s="141"/>
      <c r="H104" s="186">
        <v>464.9</v>
      </c>
      <c r="I104" s="141"/>
      <c r="J104" s="141"/>
      <c r="K104" s="144">
        <v>10395</v>
      </c>
      <c r="L104" s="190">
        <v>6.0000000000000001E-3</v>
      </c>
      <c r="O104" s="95">
        <v>303</v>
      </c>
      <c r="P104" s="98">
        <v>49</v>
      </c>
      <c r="R104" s="95">
        <v>357</v>
      </c>
      <c r="S104" s="98">
        <v>70.400000000000006</v>
      </c>
      <c r="U104" s="141">
        <v>526</v>
      </c>
      <c r="V104" s="144">
        <v>4399</v>
      </c>
      <c r="W104" s="153">
        <v>0.01</v>
      </c>
    </row>
    <row r="105" spans="1:23">
      <c r="A105" s="213">
        <v>33</v>
      </c>
      <c r="B105" s="186">
        <v>530.4</v>
      </c>
      <c r="C105" s="186">
        <v>331.6</v>
      </c>
      <c r="D105" s="215">
        <v>487</v>
      </c>
      <c r="E105" s="186">
        <v>531.6</v>
      </c>
      <c r="F105" s="186">
        <v>533</v>
      </c>
      <c r="G105" s="141"/>
      <c r="H105" s="186">
        <v>465.8</v>
      </c>
      <c r="I105" s="141"/>
      <c r="J105" s="141"/>
      <c r="K105" s="144">
        <v>10597</v>
      </c>
      <c r="L105" s="190">
        <v>5.0000000000000001E-3</v>
      </c>
      <c r="O105" s="95">
        <v>304</v>
      </c>
      <c r="P105" s="98">
        <v>48.5</v>
      </c>
      <c r="R105" s="95">
        <v>358</v>
      </c>
      <c r="S105" s="98">
        <v>70</v>
      </c>
      <c r="U105" s="141">
        <v>526.70000000000005</v>
      </c>
      <c r="V105" s="144">
        <v>4497</v>
      </c>
      <c r="W105" s="153">
        <v>8.0000000000000002E-3</v>
      </c>
    </row>
    <row r="106" spans="1:23">
      <c r="A106" s="213">
        <v>33.5</v>
      </c>
      <c r="B106" s="186">
        <v>531.5</v>
      </c>
      <c r="C106" s="186">
        <v>332.3</v>
      </c>
      <c r="D106" s="215">
        <v>488.3</v>
      </c>
      <c r="E106" s="186">
        <v>533</v>
      </c>
      <c r="F106" s="186">
        <v>534.20000000000005</v>
      </c>
      <c r="G106" s="141"/>
      <c r="H106" s="186">
        <v>466.7</v>
      </c>
      <c r="I106" s="141"/>
      <c r="J106" s="141"/>
      <c r="K106" s="144">
        <v>10793</v>
      </c>
      <c r="L106" s="190">
        <v>4.0000000000000001E-3</v>
      </c>
      <c r="O106" s="95">
        <v>305</v>
      </c>
      <c r="P106" s="98">
        <v>48</v>
      </c>
      <c r="R106" s="95">
        <v>359</v>
      </c>
      <c r="S106" s="98">
        <v>69.7</v>
      </c>
      <c r="U106" s="141">
        <v>527.5</v>
      </c>
      <c r="V106" s="144">
        <v>4600</v>
      </c>
      <c r="W106" s="153">
        <v>6.9999999999999993E-3</v>
      </c>
    </row>
    <row r="107" spans="1:23">
      <c r="A107" s="213">
        <v>34</v>
      </c>
      <c r="B107" s="186">
        <v>532.5</v>
      </c>
      <c r="C107" s="186">
        <v>333</v>
      </c>
      <c r="D107" s="215">
        <v>489.5</v>
      </c>
      <c r="E107" s="186">
        <v>534.4</v>
      </c>
      <c r="F107" s="186">
        <v>535.20000000000005</v>
      </c>
      <c r="G107" s="141"/>
      <c r="H107" s="186">
        <v>467.5</v>
      </c>
      <c r="I107" s="141"/>
      <c r="J107" s="141"/>
      <c r="K107" s="144">
        <v>10992</v>
      </c>
      <c r="L107" s="190">
        <v>3.0000000000000001E-3</v>
      </c>
      <c r="O107" s="95">
        <v>306</v>
      </c>
      <c r="P107" s="98">
        <v>47</v>
      </c>
      <c r="R107" s="95">
        <v>360</v>
      </c>
      <c r="S107" s="98">
        <v>69.3</v>
      </c>
      <c r="U107" s="141">
        <v>528.5</v>
      </c>
      <c r="V107" s="144">
        <v>4700</v>
      </c>
      <c r="W107" s="153">
        <v>6.0000000000000001E-3</v>
      </c>
    </row>
    <row r="108" spans="1:23">
      <c r="A108" s="213">
        <v>34.5</v>
      </c>
      <c r="B108" s="186">
        <v>533.5</v>
      </c>
      <c r="C108" s="186">
        <v>333.7</v>
      </c>
      <c r="D108" s="215">
        <v>490.5</v>
      </c>
      <c r="E108" s="186">
        <v>535.5</v>
      </c>
      <c r="F108" s="186">
        <v>536.20000000000005</v>
      </c>
      <c r="G108" s="141"/>
      <c r="H108" s="186">
        <v>468.4</v>
      </c>
      <c r="I108" s="141"/>
      <c r="J108" s="141"/>
      <c r="K108" s="144">
        <v>11194</v>
      </c>
      <c r="L108" s="190">
        <v>2.7000000000000001E-3</v>
      </c>
      <c r="O108" s="95">
        <v>307</v>
      </c>
      <c r="P108" s="98">
        <v>46.5</v>
      </c>
      <c r="R108" s="95">
        <v>361</v>
      </c>
      <c r="S108" s="98">
        <v>69</v>
      </c>
      <c r="U108" s="142">
        <v>529.5</v>
      </c>
      <c r="V108" s="145">
        <v>4798</v>
      </c>
      <c r="W108" s="154">
        <v>5.0000000000000001E-3</v>
      </c>
    </row>
    <row r="109" spans="1:23">
      <c r="A109" s="213">
        <v>35</v>
      </c>
      <c r="B109" s="186">
        <v>534.70000000000005</v>
      </c>
      <c r="C109" s="186">
        <v>334.4</v>
      </c>
      <c r="D109" s="215">
        <v>491.2</v>
      </c>
      <c r="E109" s="186">
        <v>536</v>
      </c>
      <c r="F109" s="186">
        <v>537.20000000000005</v>
      </c>
      <c r="G109" s="141"/>
      <c r="H109" s="186">
        <v>469.3</v>
      </c>
      <c r="I109" s="141"/>
      <c r="J109" s="141"/>
      <c r="K109" s="144">
        <v>11400</v>
      </c>
      <c r="L109" s="190">
        <v>2.3E-3</v>
      </c>
      <c r="O109" s="95">
        <v>308</v>
      </c>
      <c r="P109" s="98">
        <v>46</v>
      </c>
      <c r="R109" s="95">
        <v>362</v>
      </c>
      <c r="S109" s="98">
        <v>68.599999999999994</v>
      </c>
      <c r="U109" s="141">
        <v>530.5</v>
      </c>
      <c r="V109" s="144">
        <v>4900</v>
      </c>
      <c r="W109" s="153">
        <v>4.0000000000000001E-3</v>
      </c>
    </row>
    <row r="110" spans="1:23">
      <c r="A110" s="213">
        <v>35.5</v>
      </c>
      <c r="B110" s="186">
        <v>535.79999999999995</v>
      </c>
      <c r="C110" s="186">
        <v>335.1</v>
      </c>
      <c r="D110" s="215">
        <v>492</v>
      </c>
      <c r="E110" s="186">
        <v>537</v>
      </c>
      <c r="F110" s="186">
        <v>538.29999999999995</v>
      </c>
      <c r="G110" s="141"/>
      <c r="H110" s="186">
        <v>470.2</v>
      </c>
      <c r="I110" s="141"/>
      <c r="J110" s="141"/>
      <c r="K110" s="144">
        <v>11598</v>
      </c>
      <c r="L110" s="190">
        <v>2E-3</v>
      </c>
      <c r="O110" s="95">
        <v>309</v>
      </c>
      <c r="P110" s="98">
        <v>45.5</v>
      </c>
      <c r="R110" s="95">
        <v>363</v>
      </c>
      <c r="S110" s="98">
        <v>68.3</v>
      </c>
      <c r="U110" s="141">
        <v>531.5</v>
      </c>
      <c r="V110" s="144">
        <v>4999</v>
      </c>
      <c r="W110" s="153">
        <v>3.0000000000000001E-3</v>
      </c>
    </row>
    <row r="111" spans="1:23">
      <c r="A111" s="213">
        <v>36</v>
      </c>
      <c r="B111" s="186">
        <v>537</v>
      </c>
      <c r="C111" s="186">
        <v>335.7</v>
      </c>
      <c r="D111" s="215">
        <v>493</v>
      </c>
      <c r="E111" s="186">
        <v>538.5</v>
      </c>
      <c r="F111" s="186">
        <v>539.5</v>
      </c>
      <c r="G111" s="142"/>
      <c r="H111" s="186">
        <v>471</v>
      </c>
      <c r="I111" s="142"/>
      <c r="J111" s="142"/>
      <c r="K111" s="145">
        <v>11800</v>
      </c>
      <c r="L111" s="190">
        <v>1.6000000000000001E-3</v>
      </c>
      <c r="O111" s="95">
        <v>310</v>
      </c>
      <c r="P111" s="98">
        <v>45</v>
      </c>
      <c r="R111" s="95">
        <v>364</v>
      </c>
      <c r="S111" s="98">
        <v>67.900000000000006</v>
      </c>
      <c r="U111" s="141">
        <v>532.4</v>
      </c>
      <c r="V111" s="144">
        <v>5100</v>
      </c>
      <c r="W111" s="153">
        <v>2.5000000000000001E-3</v>
      </c>
    </row>
    <row r="112" spans="1:23">
      <c r="A112" s="213">
        <v>36.5</v>
      </c>
      <c r="B112" s="186">
        <v>538.20000000000005</v>
      </c>
      <c r="C112" s="186">
        <v>336.3</v>
      </c>
      <c r="D112" s="215">
        <v>494</v>
      </c>
      <c r="E112" s="186">
        <v>540</v>
      </c>
      <c r="F112" s="186">
        <v>541</v>
      </c>
      <c r="G112" s="141"/>
      <c r="H112" s="186">
        <v>471.8</v>
      </c>
      <c r="I112" s="141"/>
      <c r="J112" s="141"/>
      <c r="K112" s="144">
        <v>11993</v>
      </c>
      <c r="L112" s="190">
        <v>1.2999999999999999E-3</v>
      </c>
      <c r="O112" s="95">
        <v>311</v>
      </c>
      <c r="P112" s="98">
        <v>44</v>
      </c>
      <c r="R112" s="95">
        <v>365</v>
      </c>
      <c r="S112" s="98">
        <v>67.5</v>
      </c>
      <c r="U112" s="141">
        <v>533.4</v>
      </c>
      <c r="V112" s="144">
        <v>5197</v>
      </c>
      <c r="W112" s="153">
        <v>2E-3</v>
      </c>
    </row>
    <row r="113" spans="1:23">
      <c r="A113" s="213">
        <v>37</v>
      </c>
      <c r="B113" s="186">
        <v>539.29999999999995</v>
      </c>
      <c r="C113" s="186">
        <v>336.9</v>
      </c>
      <c r="D113" s="215">
        <v>495</v>
      </c>
      <c r="E113" s="186">
        <v>541</v>
      </c>
      <c r="F113" s="186">
        <v>542</v>
      </c>
      <c r="G113" s="141"/>
      <c r="H113" s="186">
        <v>472.5</v>
      </c>
      <c r="I113" s="141"/>
      <c r="J113" s="141"/>
      <c r="K113" s="144">
        <v>12189</v>
      </c>
      <c r="L113" s="190">
        <v>1E-3</v>
      </c>
      <c r="O113" s="95">
        <v>312</v>
      </c>
      <c r="P113" s="98">
        <v>43.5</v>
      </c>
      <c r="R113" s="95">
        <v>366</v>
      </c>
      <c r="S113" s="98">
        <v>67.099999999999994</v>
      </c>
      <c r="U113" s="141">
        <v>534.6</v>
      </c>
      <c r="V113" s="144">
        <v>5299</v>
      </c>
      <c r="W113" s="153">
        <v>1.5E-3</v>
      </c>
    </row>
    <row r="114" spans="1:23">
      <c r="A114" s="213">
        <v>37.5</v>
      </c>
      <c r="B114" s="186">
        <v>540.1</v>
      </c>
      <c r="C114" s="186">
        <v>337.5</v>
      </c>
      <c r="D114" s="215">
        <v>496</v>
      </c>
      <c r="E114" s="186">
        <v>541.5</v>
      </c>
      <c r="F114" s="186">
        <v>542.5</v>
      </c>
      <c r="G114" s="141"/>
      <c r="H114" s="186">
        <v>473.2</v>
      </c>
      <c r="I114" s="141"/>
      <c r="J114" s="141"/>
      <c r="K114" s="144">
        <v>12400</v>
      </c>
      <c r="L114" s="190">
        <v>7.000000000000001E-4</v>
      </c>
      <c r="O114" s="95">
        <v>313</v>
      </c>
      <c r="P114" s="98">
        <v>43</v>
      </c>
      <c r="R114" s="95">
        <v>367</v>
      </c>
      <c r="S114" s="98">
        <v>66.7</v>
      </c>
      <c r="U114" s="141">
        <v>535.79999999999995</v>
      </c>
      <c r="V114" s="144">
        <v>5398</v>
      </c>
      <c r="W114" s="153">
        <v>1E-3</v>
      </c>
    </row>
    <row r="115" spans="1:23">
      <c r="A115" s="213">
        <v>38</v>
      </c>
      <c r="B115" s="186">
        <v>540.79999999999995</v>
      </c>
      <c r="C115" s="186">
        <v>338.1</v>
      </c>
      <c r="D115" s="215">
        <v>497</v>
      </c>
      <c r="E115" s="186">
        <v>542</v>
      </c>
      <c r="F115" s="186">
        <v>543</v>
      </c>
      <c r="G115" s="141"/>
      <c r="H115" s="186">
        <v>473.9</v>
      </c>
      <c r="I115" s="141"/>
      <c r="J115" s="141"/>
      <c r="K115" s="144">
        <v>12590</v>
      </c>
      <c r="L115" s="190">
        <v>5.0000000000000001E-4</v>
      </c>
      <c r="O115" s="95">
        <v>314</v>
      </c>
      <c r="P115" s="98">
        <v>42</v>
      </c>
      <c r="R115" s="95">
        <v>368</v>
      </c>
      <c r="S115" s="98">
        <v>66.400000000000006</v>
      </c>
      <c r="U115" s="141">
        <v>537</v>
      </c>
      <c r="V115" s="144">
        <v>5498</v>
      </c>
      <c r="W115" s="153">
        <v>8.0000000000000004E-4</v>
      </c>
    </row>
    <row r="116" spans="1:23">
      <c r="A116" s="213">
        <v>38.5</v>
      </c>
      <c r="B116" s="186">
        <v>541.5</v>
      </c>
      <c r="C116" s="186">
        <v>338.7</v>
      </c>
      <c r="D116" s="215">
        <v>497.8</v>
      </c>
      <c r="E116" s="186">
        <v>543</v>
      </c>
      <c r="F116" s="186">
        <v>544</v>
      </c>
      <c r="G116" s="141"/>
      <c r="H116" s="186">
        <v>474.6</v>
      </c>
      <c r="I116" s="141"/>
      <c r="J116" s="141"/>
      <c r="K116" s="144">
        <v>12796</v>
      </c>
      <c r="L116" s="190">
        <v>2.9999999999999997E-4</v>
      </c>
      <c r="O116" s="95">
        <v>315</v>
      </c>
      <c r="P116" s="98">
        <v>41.5</v>
      </c>
      <c r="R116" s="95">
        <v>369</v>
      </c>
      <c r="S116" s="98">
        <v>66</v>
      </c>
      <c r="U116" s="142">
        <v>538.1</v>
      </c>
      <c r="V116" s="145">
        <v>5598</v>
      </c>
      <c r="W116" s="154">
        <v>5.9999999999999995E-4</v>
      </c>
    </row>
    <row r="117" spans="1:23">
      <c r="A117" s="213">
        <v>39</v>
      </c>
      <c r="B117" s="186">
        <v>542.4</v>
      </c>
      <c r="C117" s="186">
        <v>339.2</v>
      </c>
      <c r="D117" s="215">
        <v>498.5</v>
      </c>
      <c r="E117" s="186">
        <v>544</v>
      </c>
      <c r="F117" s="186">
        <v>545</v>
      </c>
      <c r="G117" s="141"/>
      <c r="H117" s="186">
        <v>475.4</v>
      </c>
      <c r="I117" s="141"/>
      <c r="J117" s="141"/>
      <c r="K117" s="144">
        <v>12992</v>
      </c>
      <c r="L117" s="190">
        <v>1E-4</v>
      </c>
      <c r="O117" s="95">
        <v>316</v>
      </c>
      <c r="P117" s="98">
        <v>40.5</v>
      </c>
      <c r="R117" s="95">
        <v>370</v>
      </c>
      <c r="S117" s="98">
        <v>65.599999999999994</v>
      </c>
      <c r="U117" s="141">
        <v>539</v>
      </c>
      <c r="V117" s="144">
        <v>5700</v>
      </c>
      <c r="W117" s="153">
        <v>5.0000000000000001E-4</v>
      </c>
    </row>
    <row r="118" spans="1:23">
      <c r="A118" s="213">
        <v>39.5</v>
      </c>
      <c r="B118" s="186">
        <v>543.20000000000005</v>
      </c>
      <c r="C118" s="186">
        <v>339.6</v>
      </c>
      <c r="D118" s="215">
        <v>499</v>
      </c>
      <c r="E118" s="186">
        <v>544.9</v>
      </c>
      <c r="F118" s="186">
        <v>546</v>
      </c>
      <c r="G118" s="141"/>
      <c r="H118" s="186">
        <v>476.2</v>
      </c>
      <c r="I118" s="141"/>
      <c r="J118" s="141"/>
      <c r="K118" s="144">
        <v>13191</v>
      </c>
      <c r="L118" s="190">
        <v>7.0000000000000007E-5</v>
      </c>
      <c r="O118" s="95">
        <v>317</v>
      </c>
      <c r="P118" s="98">
        <v>40</v>
      </c>
      <c r="R118" s="95">
        <v>371</v>
      </c>
      <c r="S118" s="98">
        <v>65.2</v>
      </c>
      <c r="U118" s="141">
        <v>539.5</v>
      </c>
      <c r="V118" s="144">
        <v>5798</v>
      </c>
      <c r="W118" s="153">
        <v>4.0000000000000002E-4</v>
      </c>
    </row>
    <row r="119" spans="1:23">
      <c r="A119" s="213">
        <v>40</v>
      </c>
      <c r="B119" s="186">
        <v>543.79999999999995</v>
      </c>
      <c r="C119" s="186">
        <v>340</v>
      </c>
      <c r="D119" s="215">
        <v>499.4</v>
      </c>
      <c r="E119" s="186">
        <v>545.20000000000005</v>
      </c>
      <c r="F119" s="186">
        <v>546.4</v>
      </c>
      <c r="G119" s="141"/>
      <c r="H119" s="186">
        <v>476.8</v>
      </c>
      <c r="I119" s="141"/>
      <c r="J119" s="141"/>
      <c r="K119" s="144">
        <v>13392</v>
      </c>
      <c r="L119" s="190">
        <v>5.0000000000000002E-5</v>
      </c>
      <c r="O119" s="95">
        <v>318</v>
      </c>
      <c r="P119" s="98">
        <v>39</v>
      </c>
      <c r="R119" s="95">
        <v>372</v>
      </c>
      <c r="S119" s="98">
        <v>64.900000000000006</v>
      </c>
      <c r="U119" s="141">
        <v>540</v>
      </c>
      <c r="V119" s="144">
        <v>5897</v>
      </c>
      <c r="W119" s="153">
        <v>2.9999999999999997E-4</v>
      </c>
    </row>
    <row r="120" spans="1:23">
      <c r="H120" s="141"/>
      <c r="O120" s="95">
        <v>319</v>
      </c>
      <c r="P120" s="98">
        <v>38.5</v>
      </c>
      <c r="R120" s="95">
        <v>373</v>
      </c>
      <c r="S120" s="98">
        <v>64.5</v>
      </c>
      <c r="U120" s="141">
        <v>540.5</v>
      </c>
      <c r="V120" s="144">
        <v>5997</v>
      </c>
      <c r="W120" s="153">
        <v>2.5000000000000001E-4</v>
      </c>
    </row>
    <row r="121" spans="1:23">
      <c r="O121" s="95">
        <v>320</v>
      </c>
      <c r="P121" s="98">
        <v>38</v>
      </c>
      <c r="R121" s="95">
        <v>374</v>
      </c>
      <c r="S121" s="98">
        <v>64.099999999999994</v>
      </c>
      <c r="U121" s="141">
        <v>541</v>
      </c>
      <c r="V121" s="144">
        <v>6098</v>
      </c>
      <c r="W121" s="153">
        <v>2.0000000000000001E-4</v>
      </c>
    </row>
    <row r="122" spans="1:23">
      <c r="O122" s="95">
        <v>321</v>
      </c>
      <c r="P122" s="98">
        <v>37</v>
      </c>
      <c r="R122" s="95">
        <v>375</v>
      </c>
      <c r="S122" s="98">
        <v>63.7</v>
      </c>
      <c r="U122" s="141">
        <v>541.5</v>
      </c>
      <c r="V122" s="144">
        <v>6199</v>
      </c>
      <c r="W122" s="153">
        <v>1.4999999999999999E-4</v>
      </c>
    </row>
    <row r="123" spans="1:23">
      <c r="O123" s="95">
        <v>322</v>
      </c>
      <c r="P123" s="98">
        <v>36.5</v>
      </c>
      <c r="R123" s="95">
        <v>376</v>
      </c>
      <c r="S123" s="98">
        <v>63.4</v>
      </c>
      <c r="U123" s="141">
        <v>542</v>
      </c>
      <c r="V123" s="144">
        <v>6298</v>
      </c>
      <c r="W123" s="153">
        <v>1E-4</v>
      </c>
    </row>
    <row r="124" spans="1:23">
      <c r="O124" s="95">
        <v>323</v>
      </c>
      <c r="P124" s="98">
        <v>36</v>
      </c>
      <c r="R124" s="95">
        <v>377</v>
      </c>
      <c r="S124" s="98">
        <v>63</v>
      </c>
      <c r="U124" s="142">
        <v>543</v>
      </c>
      <c r="V124" s="145">
        <v>6397</v>
      </c>
      <c r="W124" s="154">
        <v>7.0000000000000007E-5</v>
      </c>
    </row>
    <row r="125" spans="1:23">
      <c r="O125" s="95">
        <v>324</v>
      </c>
      <c r="P125" s="98">
        <v>35</v>
      </c>
      <c r="R125" s="95">
        <v>378</v>
      </c>
      <c r="S125" s="98">
        <v>62.6</v>
      </c>
      <c r="U125" s="141">
        <v>544</v>
      </c>
      <c r="V125" s="144">
        <v>6500</v>
      </c>
      <c r="W125" s="153">
        <v>5.0000000000000002E-5</v>
      </c>
    </row>
    <row r="126" spans="1:23">
      <c r="O126" s="95">
        <v>325</v>
      </c>
      <c r="P126" s="98">
        <v>34.5</v>
      </c>
      <c r="R126" s="95">
        <v>379</v>
      </c>
      <c r="S126" s="98">
        <v>62.2</v>
      </c>
      <c r="U126" s="141">
        <v>544.5</v>
      </c>
      <c r="V126" s="144">
        <v>6597</v>
      </c>
      <c r="W126" s="153">
        <v>3.0000000000000001E-5</v>
      </c>
    </row>
    <row r="127" spans="1:23">
      <c r="O127" s="95">
        <v>326</v>
      </c>
      <c r="P127" s="98">
        <v>34</v>
      </c>
      <c r="R127" s="95">
        <v>380</v>
      </c>
      <c r="S127" s="98">
        <v>61.9</v>
      </c>
      <c r="U127" s="141">
        <v>545</v>
      </c>
      <c r="V127" s="144">
        <v>6698</v>
      </c>
      <c r="W127" s="153">
        <v>1.0000000000000001E-5</v>
      </c>
    </row>
    <row r="128" spans="1:23">
      <c r="O128" s="95">
        <v>327</v>
      </c>
      <c r="P128" s="98">
        <v>33.5</v>
      </c>
      <c r="R128" s="95">
        <v>381</v>
      </c>
      <c r="S128" s="98">
        <v>61.5</v>
      </c>
    </row>
    <row r="129" spans="15:19">
      <c r="O129" s="95">
        <v>328</v>
      </c>
      <c r="P129" s="98">
        <v>33</v>
      </c>
      <c r="R129" s="95">
        <v>382</v>
      </c>
      <c r="S129" s="98">
        <v>61.1</v>
      </c>
    </row>
    <row r="130" spans="15:19">
      <c r="O130" s="95">
        <v>329</v>
      </c>
      <c r="P130" s="98">
        <v>32</v>
      </c>
      <c r="R130" s="95">
        <v>383</v>
      </c>
      <c r="S130" s="98">
        <v>60.8</v>
      </c>
    </row>
    <row r="131" spans="15:19">
      <c r="O131" s="95">
        <v>330</v>
      </c>
      <c r="P131" s="98">
        <v>31.5</v>
      </c>
      <c r="R131" s="95">
        <v>384</v>
      </c>
      <c r="S131" s="98">
        <v>60.4</v>
      </c>
    </row>
    <row r="132" spans="15:19">
      <c r="O132" s="95">
        <v>331</v>
      </c>
      <c r="P132" s="98">
        <v>31</v>
      </c>
      <c r="R132" s="95">
        <v>385</v>
      </c>
      <c r="S132" s="98">
        <v>59.899999999999935</v>
      </c>
    </row>
    <row r="133" spans="15:19">
      <c r="O133" s="95">
        <v>332</v>
      </c>
      <c r="P133" s="98">
        <v>30.5</v>
      </c>
      <c r="R133" s="95">
        <v>386</v>
      </c>
      <c r="S133" s="98">
        <v>59.499999999999936</v>
      </c>
    </row>
    <row r="134" spans="15:19">
      <c r="O134" s="96">
        <v>333</v>
      </c>
      <c r="P134" s="98">
        <v>30</v>
      </c>
      <c r="R134" s="95">
        <v>387</v>
      </c>
      <c r="S134" s="98">
        <v>59.099999999999937</v>
      </c>
    </row>
    <row r="135" spans="15:19">
      <c r="O135" s="95">
        <v>334</v>
      </c>
      <c r="P135" s="98">
        <v>29</v>
      </c>
      <c r="R135" s="95">
        <v>388</v>
      </c>
      <c r="S135" s="98">
        <v>58.699999999999939</v>
      </c>
    </row>
    <row r="136" spans="15:19">
      <c r="O136" s="95">
        <v>335</v>
      </c>
      <c r="P136" s="98">
        <v>28.5</v>
      </c>
      <c r="R136" s="95">
        <v>389</v>
      </c>
      <c r="S136" s="98">
        <v>58.29999999999994</v>
      </c>
    </row>
    <row r="137" spans="15:19">
      <c r="O137" s="96">
        <v>336</v>
      </c>
      <c r="P137" s="98">
        <v>28</v>
      </c>
      <c r="R137" s="95">
        <v>390</v>
      </c>
      <c r="S137" s="98">
        <v>57.899999999999942</v>
      </c>
    </row>
    <row r="138" spans="15:19">
      <c r="O138" s="95">
        <v>337</v>
      </c>
      <c r="P138" s="98">
        <v>27</v>
      </c>
      <c r="R138" s="95">
        <v>391</v>
      </c>
      <c r="S138" s="98">
        <v>57.499999999999943</v>
      </c>
    </row>
    <row r="139" spans="15:19">
      <c r="O139" s="95">
        <v>338</v>
      </c>
      <c r="P139" s="98">
        <v>26</v>
      </c>
      <c r="R139" s="95">
        <v>392</v>
      </c>
      <c r="S139" s="98">
        <v>57</v>
      </c>
    </row>
    <row r="140" spans="15:19">
      <c r="O140" s="95">
        <v>339</v>
      </c>
      <c r="P140" s="98">
        <v>25.5</v>
      </c>
      <c r="R140" s="95">
        <v>393</v>
      </c>
      <c r="S140" s="98">
        <v>56.5</v>
      </c>
    </row>
    <row r="141" spans="15:19">
      <c r="O141" s="95">
        <v>340</v>
      </c>
      <c r="P141" s="98">
        <v>25</v>
      </c>
      <c r="R141" s="95">
        <v>394</v>
      </c>
      <c r="S141" s="98">
        <v>56</v>
      </c>
    </row>
    <row r="142" spans="15:19">
      <c r="O142" s="95">
        <v>341</v>
      </c>
      <c r="P142" s="98">
        <v>24.5</v>
      </c>
      <c r="R142" s="95">
        <v>395</v>
      </c>
      <c r="S142" s="98">
        <v>55.5</v>
      </c>
    </row>
    <row r="143" spans="15:19">
      <c r="O143" s="95">
        <v>342</v>
      </c>
      <c r="P143" s="98">
        <v>24</v>
      </c>
      <c r="R143" s="95">
        <v>396</v>
      </c>
      <c r="S143" s="98">
        <v>55</v>
      </c>
    </row>
    <row r="144" spans="15:19">
      <c r="O144" s="95">
        <v>343</v>
      </c>
      <c r="P144" s="98">
        <v>23</v>
      </c>
      <c r="R144" s="95">
        <v>397</v>
      </c>
      <c r="S144" s="98">
        <v>54.5</v>
      </c>
    </row>
    <row r="145" spans="15:19">
      <c r="O145" s="95">
        <v>344</v>
      </c>
      <c r="P145" s="98">
        <v>22.5</v>
      </c>
      <c r="R145" s="95">
        <v>398</v>
      </c>
      <c r="S145" s="98">
        <v>54</v>
      </c>
    </row>
    <row r="146" spans="15:19">
      <c r="O146" s="95">
        <v>345</v>
      </c>
      <c r="P146" s="98">
        <v>22</v>
      </c>
      <c r="R146" s="95">
        <v>399</v>
      </c>
      <c r="S146" s="98">
        <v>53.5</v>
      </c>
    </row>
    <row r="147" spans="15:19">
      <c r="O147" s="96">
        <v>346</v>
      </c>
      <c r="P147" s="98">
        <v>21.7</v>
      </c>
      <c r="R147" s="95">
        <v>400</v>
      </c>
      <c r="S147" s="98">
        <v>53</v>
      </c>
    </row>
    <row r="148" spans="15:19">
      <c r="O148" s="95">
        <v>347</v>
      </c>
      <c r="P148" s="98">
        <v>21.3</v>
      </c>
      <c r="R148" s="95">
        <v>401</v>
      </c>
      <c r="S148" s="98">
        <v>52.5</v>
      </c>
    </row>
    <row r="149" spans="15:19">
      <c r="O149" s="96">
        <v>348</v>
      </c>
      <c r="P149" s="98">
        <v>20.5</v>
      </c>
      <c r="R149" s="95">
        <v>402</v>
      </c>
      <c r="S149" s="98">
        <v>52</v>
      </c>
    </row>
    <row r="150" spans="15:19">
      <c r="O150" s="95">
        <v>349</v>
      </c>
      <c r="P150" s="98">
        <v>20</v>
      </c>
      <c r="R150" s="95">
        <v>403</v>
      </c>
      <c r="S150" s="98">
        <v>51.5</v>
      </c>
    </row>
    <row r="151" spans="15:19">
      <c r="O151" s="95">
        <v>350</v>
      </c>
      <c r="P151" s="98">
        <v>19.5</v>
      </c>
      <c r="R151" s="95">
        <v>404</v>
      </c>
      <c r="S151" s="98">
        <v>51</v>
      </c>
    </row>
    <row r="152" spans="15:19">
      <c r="O152" s="95">
        <v>351</v>
      </c>
      <c r="P152" s="98">
        <v>19</v>
      </c>
      <c r="R152" s="95">
        <v>405</v>
      </c>
      <c r="S152" s="98">
        <v>50.5</v>
      </c>
    </row>
    <row r="153" spans="15:19">
      <c r="O153" s="95">
        <v>352</v>
      </c>
      <c r="P153" s="98">
        <v>18.5</v>
      </c>
      <c r="R153" s="95">
        <v>406</v>
      </c>
      <c r="S153" s="98">
        <v>50</v>
      </c>
    </row>
    <row r="154" spans="15:19">
      <c r="O154" s="95">
        <v>353</v>
      </c>
      <c r="P154" s="98">
        <v>17.7</v>
      </c>
      <c r="R154" s="95">
        <v>407</v>
      </c>
      <c r="S154" s="98">
        <v>49.5</v>
      </c>
    </row>
    <row r="155" spans="15:19">
      <c r="O155" s="95">
        <v>354</v>
      </c>
      <c r="P155" s="98">
        <v>17.3</v>
      </c>
      <c r="R155" s="95">
        <v>408</v>
      </c>
      <c r="S155" s="98">
        <v>49</v>
      </c>
    </row>
    <row r="156" spans="15:19">
      <c r="O156" s="95">
        <v>355</v>
      </c>
      <c r="P156" s="98">
        <v>17</v>
      </c>
      <c r="R156" s="95">
        <v>409</v>
      </c>
      <c r="S156" s="98">
        <v>48.5</v>
      </c>
    </row>
    <row r="157" spans="15:19">
      <c r="O157" s="95">
        <v>356</v>
      </c>
      <c r="P157" s="98">
        <v>16.3</v>
      </c>
      <c r="R157" s="95">
        <v>410</v>
      </c>
      <c r="S157" s="98">
        <v>48</v>
      </c>
    </row>
    <row r="158" spans="15:19">
      <c r="O158" s="95">
        <v>358</v>
      </c>
      <c r="P158" s="98">
        <v>16</v>
      </c>
      <c r="R158" s="95">
        <v>411</v>
      </c>
      <c r="S158" s="98">
        <v>47.5</v>
      </c>
    </row>
    <row r="159" spans="15:19">
      <c r="O159" s="95">
        <v>359</v>
      </c>
      <c r="P159" s="98">
        <v>15.3</v>
      </c>
      <c r="R159" s="95">
        <v>412</v>
      </c>
      <c r="S159" s="98">
        <v>47</v>
      </c>
    </row>
    <row r="160" spans="15:19">
      <c r="O160" s="95">
        <v>360</v>
      </c>
      <c r="P160" s="98">
        <v>15</v>
      </c>
      <c r="R160" s="95">
        <v>413</v>
      </c>
      <c r="S160" s="98">
        <v>46.5</v>
      </c>
    </row>
    <row r="161" spans="15:19">
      <c r="O161" s="95">
        <v>361</v>
      </c>
      <c r="P161" s="98">
        <v>14.7</v>
      </c>
      <c r="R161" s="95">
        <v>414</v>
      </c>
      <c r="S161" s="98">
        <v>46</v>
      </c>
    </row>
    <row r="162" spans="15:19">
      <c r="O162" s="95">
        <v>362</v>
      </c>
      <c r="P162" s="98">
        <v>14.3</v>
      </c>
      <c r="R162" s="95">
        <v>415</v>
      </c>
      <c r="S162" s="98">
        <v>45.5</v>
      </c>
    </row>
    <row r="163" spans="15:19">
      <c r="O163" s="95">
        <v>363</v>
      </c>
      <c r="P163" s="98">
        <v>14</v>
      </c>
      <c r="R163" s="95">
        <v>416</v>
      </c>
      <c r="S163" s="98">
        <v>45</v>
      </c>
    </row>
    <row r="164" spans="15:19">
      <c r="O164" s="95">
        <v>364</v>
      </c>
      <c r="P164" s="98">
        <v>13.7</v>
      </c>
      <c r="R164" s="95">
        <v>417</v>
      </c>
      <c r="S164" s="98">
        <v>44.5</v>
      </c>
    </row>
    <row r="165" spans="15:19">
      <c r="O165" s="95">
        <v>365</v>
      </c>
      <c r="P165" s="98">
        <v>13.3</v>
      </c>
      <c r="R165" s="95">
        <v>418</v>
      </c>
      <c r="S165" s="98">
        <v>44</v>
      </c>
    </row>
    <row r="166" spans="15:19">
      <c r="O166" s="95">
        <v>366</v>
      </c>
      <c r="P166" s="98">
        <v>12.7</v>
      </c>
      <c r="R166" s="95">
        <v>419</v>
      </c>
      <c r="S166" s="98">
        <v>43.5</v>
      </c>
    </row>
    <row r="167" spans="15:19">
      <c r="O167" s="95">
        <v>367</v>
      </c>
      <c r="P167" s="98">
        <v>12.3</v>
      </c>
      <c r="R167" s="95">
        <v>420</v>
      </c>
      <c r="S167" s="98">
        <v>43</v>
      </c>
    </row>
    <row r="168" spans="15:19">
      <c r="O168" s="96">
        <v>368</v>
      </c>
      <c r="P168" s="98">
        <v>11.7</v>
      </c>
      <c r="R168" s="95">
        <v>421</v>
      </c>
      <c r="S168" s="98">
        <v>42.5</v>
      </c>
    </row>
    <row r="169" spans="15:19">
      <c r="O169" s="95">
        <v>369</v>
      </c>
      <c r="P169" s="98">
        <v>11.3</v>
      </c>
      <c r="R169" s="95">
        <v>422</v>
      </c>
      <c r="S169" s="98">
        <v>42</v>
      </c>
    </row>
    <row r="170" spans="15:19">
      <c r="O170" s="95">
        <v>370</v>
      </c>
      <c r="P170" s="98">
        <v>11</v>
      </c>
      <c r="R170" s="95">
        <v>423</v>
      </c>
      <c r="S170" s="98">
        <v>41.5</v>
      </c>
    </row>
    <row r="171" spans="15:19">
      <c r="O171" s="95">
        <v>371</v>
      </c>
      <c r="P171" s="98">
        <v>10.3</v>
      </c>
      <c r="R171" s="95">
        <v>424</v>
      </c>
      <c r="S171" s="98">
        <v>41</v>
      </c>
    </row>
    <row r="172" spans="15:19">
      <c r="O172" s="95">
        <v>372</v>
      </c>
      <c r="P172" s="98">
        <v>10</v>
      </c>
      <c r="R172" s="95">
        <v>425</v>
      </c>
      <c r="S172" s="98">
        <v>40.5</v>
      </c>
    </row>
    <row r="173" spans="15:19">
      <c r="O173" s="95">
        <v>373</v>
      </c>
      <c r="P173" s="98">
        <v>9.6999999999999993</v>
      </c>
      <c r="R173" s="95">
        <v>426</v>
      </c>
      <c r="S173" s="98">
        <v>40</v>
      </c>
    </row>
    <row r="174" spans="15:19">
      <c r="O174" s="95">
        <v>374</v>
      </c>
      <c r="P174" s="98">
        <v>9.3000000000000007</v>
      </c>
      <c r="R174" s="95">
        <v>427</v>
      </c>
      <c r="S174" s="98">
        <v>39.5</v>
      </c>
    </row>
    <row r="175" spans="15:19">
      <c r="O175" s="95">
        <v>375</v>
      </c>
      <c r="P175" s="98">
        <v>8.6999999999999993</v>
      </c>
      <c r="R175" s="95">
        <v>428</v>
      </c>
      <c r="S175" s="98">
        <v>39</v>
      </c>
    </row>
    <row r="176" spans="15:19">
      <c r="O176" s="95">
        <v>376</v>
      </c>
      <c r="P176" s="98">
        <v>8.3000000000000007</v>
      </c>
      <c r="R176" s="95">
        <v>429</v>
      </c>
      <c r="S176" s="98">
        <v>38.5</v>
      </c>
    </row>
    <row r="177" spans="15:19">
      <c r="O177" s="95">
        <v>377</v>
      </c>
      <c r="P177" s="98">
        <v>8</v>
      </c>
      <c r="R177" s="95">
        <v>430</v>
      </c>
      <c r="S177" s="98">
        <v>38</v>
      </c>
    </row>
    <row r="178" spans="15:19">
      <c r="O178" s="95">
        <v>378</v>
      </c>
      <c r="P178" s="98">
        <v>7.3</v>
      </c>
      <c r="R178" s="95">
        <v>431</v>
      </c>
      <c r="S178" s="98">
        <v>37.5</v>
      </c>
    </row>
    <row r="179" spans="15:19">
      <c r="O179" s="95">
        <v>379</v>
      </c>
      <c r="P179" s="98">
        <v>7</v>
      </c>
      <c r="R179" s="95">
        <v>432</v>
      </c>
      <c r="S179" s="98">
        <v>37</v>
      </c>
    </row>
    <row r="180" spans="15:19">
      <c r="O180" s="95">
        <v>380</v>
      </c>
      <c r="P180" s="98">
        <v>6.7</v>
      </c>
      <c r="R180" s="95">
        <v>433</v>
      </c>
      <c r="S180" s="98">
        <v>36.5</v>
      </c>
    </row>
    <row r="181" spans="15:19">
      <c r="O181" s="95">
        <v>381</v>
      </c>
      <c r="P181" s="98">
        <v>6.3</v>
      </c>
      <c r="R181" s="95">
        <v>434</v>
      </c>
      <c r="S181" s="98">
        <v>36</v>
      </c>
    </row>
    <row r="182" spans="15:19">
      <c r="O182" s="95">
        <v>382</v>
      </c>
      <c r="P182" s="98">
        <v>6</v>
      </c>
      <c r="R182" s="95">
        <v>435</v>
      </c>
      <c r="S182" s="98">
        <v>35.5</v>
      </c>
    </row>
    <row r="183" spans="15:19">
      <c r="O183" s="95">
        <v>383</v>
      </c>
      <c r="P183" s="98">
        <v>5.3</v>
      </c>
      <c r="R183" s="95">
        <v>436</v>
      </c>
      <c r="S183" s="98">
        <v>35</v>
      </c>
    </row>
    <row r="184" spans="15:19">
      <c r="O184" s="95">
        <v>384</v>
      </c>
      <c r="P184" s="98">
        <v>5</v>
      </c>
      <c r="R184" s="95">
        <v>437</v>
      </c>
      <c r="S184" s="98">
        <v>34.5</v>
      </c>
    </row>
    <row r="185" spans="15:19">
      <c r="O185" s="95">
        <v>385</v>
      </c>
      <c r="P185" s="98">
        <v>4.7</v>
      </c>
      <c r="R185" s="95">
        <v>438</v>
      </c>
      <c r="S185" s="98">
        <v>34</v>
      </c>
    </row>
    <row r="186" spans="15:19">
      <c r="O186" s="95">
        <v>386</v>
      </c>
      <c r="P186" s="98">
        <v>4.3</v>
      </c>
      <c r="R186" s="95">
        <v>439</v>
      </c>
      <c r="S186" s="98">
        <v>33.5</v>
      </c>
    </row>
    <row r="187" spans="15:19">
      <c r="O187" s="95">
        <v>387</v>
      </c>
      <c r="P187" s="98">
        <v>4</v>
      </c>
      <c r="R187" s="95">
        <v>440</v>
      </c>
      <c r="S187" s="98">
        <v>33</v>
      </c>
    </row>
    <row r="188" spans="15:19">
      <c r="O188" s="95">
        <v>388</v>
      </c>
      <c r="P188" s="98">
        <v>3.7</v>
      </c>
      <c r="R188" s="95">
        <v>441</v>
      </c>
      <c r="S188" s="98">
        <v>32.5</v>
      </c>
    </row>
    <row r="189" spans="15:19">
      <c r="O189" s="95">
        <v>389</v>
      </c>
      <c r="P189" s="98">
        <v>3.3</v>
      </c>
      <c r="R189" s="95">
        <v>442</v>
      </c>
      <c r="S189" s="98">
        <v>32</v>
      </c>
    </row>
    <row r="190" spans="15:19">
      <c r="O190" s="95">
        <v>390</v>
      </c>
      <c r="P190" s="98">
        <v>3</v>
      </c>
      <c r="R190" s="95">
        <v>443</v>
      </c>
      <c r="S190" s="98">
        <v>31.5</v>
      </c>
    </row>
    <row r="191" spans="15:19">
      <c r="O191" s="95">
        <v>391</v>
      </c>
      <c r="P191" s="98">
        <v>2.7</v>
      </c>
      <c r="R191" s="95">
        <v>444</v>
      </c>
      <c r="S191" s="98">
        <v>31</v>
      </c>
    </row>
    <row r="192" spans="15:19">
      <c r="O192" s="95">
        <v>392</v>
      </c>
      <c r="P192" s="98">
        <v>2.5</v>
      </c>
      <c r="R192" s="95">
        <v>445</v>
      </c>
      <c r="S192" s="98">
        <v>30.5</v>
      </c>
    </row>
    <row r="193" spans="15:19">
      <c r="O193" s="95">
        <v>393</v>
      </c>
      <c r="P193" s="98">
        <v>2.2999999999999998</v>
      </c>
      <c r="R193" s="95">
        <v>446</v>
      </c>
      <c r="S193" s="98">
        <v>30</v>
      </c>
    </row>
    <row r="194" spans="15:19">
      <c r="O194" s="95">
        <v>394</v>
      </c>
      <c r="P194" s="98">
        <v>1.8</v>
      </c>
      <c r="R194" s="95">
        <v>447</v>
      </c>
      <c r="S194" s="98">
        <v>29.5</v>
      </c>
    </row>
    <row r="195" spans="15:19">
      <c r="O195" s="95">
        <v>395</v>
      </c>
      <c r="P195" s="98">
        <v>1.6</v>
      </c>
      <c r="R195" s="95">
        <v>448</v>
      </c>
      <c r="S195" s="98">
        <v>29</v>
      </c>
    </row>
    <row r="196" spans="15:19">
      <c r="O196" s="95">
        <v>396</v>
      </c>
      <c r="P196" s="98">
        <v>1.4</v>
      </c>
      <c r="R196" s="95">
        <v>449</v>
      </c>
      <c r="S196" s="98">
        <v>28.5</v>
      </c>
    </row>
    <row r="197" spans="15:19">
      <c r="O197" s="95">
        <v>397</v>
      </c>
      <c r="P197" s="98">
        <v>1</v>
      </c>
      <c r="R197" s="95">
        <v>450</v>
      </c>
      <c r="S197" s="98">
        <v>28</v>
      </c>
    </row>
    <row r="198" spans="15:19">
      <c r="O198" s="95">
        <v>398</v>
      </c>
      <c r="P198" s="98">
        <v>0.8</v>
      </c>
      <c r="R198" s="95">
        <v>451</v>
      </c>
      <c r="S198" s="98">
        <v>27.5</v>
      </c>
    </row>
    <row r="199" spans="15:19">
      <c r="O199" s="95">
        <v>399</v>
      </c>
      <c r="P199" s="98">
        <v>0.6</v>
      </c>
      <c r="R199" s="95">
        <v>452</v>
      </c>
      <c r="S199" s="98">
        <v>27</v>
      </c>
    </row>
    <row r="200" spans="15:19">
      <c r="O200" s="95">
        <v>400</v>
      </c>
      <c r="P200" s="98">
        <v>0.5</v>
      </c>
      <c r="R200" s="95">
        <v>453</v>
      </c>
      <c r="S200" s="98">
        <v>26.5</v>
      </c>
    </row>
    <row r="201" spans="15:19">
      <c r="O201" s="95">
        <v>401</v>
      </c>
      <c r="P201" s="98">
        <v>0.4</v>
      </c>
      <c r="R201" s="95">
        <v>454</v>
      </c>
      <c r="S201" s="98">
        <v>26</v>
      </c>
    </row>
    <row r="202" spans="15:19">
      <c r="O202" s="95">
        <v>402</v>
      </c>
      <c r="P202" s="98">
        <v>0.3</v>
      </c>
      <c r="R202" s="95">
        <v>455</v>
      </c>
      <c r="S202" s="98">
        <v>25.5</v>
      </c>
    </row>
    <row r="203" spans="15:19">
      <c r="O203" s="95">
        <v>403</v>
      </c>
      <c r="P203" s="98">
        <v>0.27</v>
      </c>
      <c r="R203" s="95">
        <v>456</v>
      </c>
      <c r="S203" s="98">
        <v>25</v>
      </c>
    </row>
    <row r="204" spans="15:19">
      <c r="O204" s="95">
        <v>404</v>
      </c>
      <c r="P204" s="98">
        <v>0.23</v>
      </c>
      <c r="R204" s="95">
        <v>457</v>
      </c>
      <c r="S204" s="98">
        <v>24.5</v>
      </c>
    </row>
    <row r="205" spans="15:19">
      <c r="O205" s="95">
        <v>405</v>
      </c>
      <c r="P205" s="98">
        <v>0.2</v>
      </c>
      <c r="R205" s="95">
        <v>458</v>
      </c>
      <c r="S205" s="98">
        <v>24</v>
      </c>
    </row>
    <row r="206" spans="15:19">
      <c r="O206" s="95">
        <v>406</v>
      </c>
      <c r="P206" s="98">
        <v>0.13</v>
      </c>
      <c r="R206" s="95">
        <v>459</v>
      </c>
      <c r="S206" s="98">
        <v>23.5</v>
      </c>
    </row>
    <row r="207" spans="15:19">
      <c r="O207" s="95">
        <v>407</v>
      </c>
      <c r="P207" s="98">
        <v>0.1</v>
      </c>
      <c r="R207" s="95">
        <v>460</v>
      </c>
      <c r="S207" s="98">
        <v>23</v>
      </c>
    </row>
    <row r="208" spans="15:19">
      <c r="O208" s="95">
        <v>408</v>
      </c>
      <c r="P208" s="98">
        <v>7.0000000000000007E-2</v>
      </c>
      <c r="R208" s="95">
        <v>461</v>
      </c>
      <c r="S208" s="98">
        <v>22.5</v>
      </c>
    </row>
    <row r="209" spans="15:19">
      <c r="O209" s="95">
        <v>410</v>
      </c>
      <c r="P209" s="98">
        <v>0.05</v>
      </c>
      <c r="R209" s="95">
        <v>462</v>
      </c>
      <c r="S209" s="98">
        <v>22</v>
      </c>
    </row>
    <row r="210" spans="15:19">
      <c r="R210" s="95">
        <v>463</v>
      </c>
      <c r="S210" s="98">
        <v>21.7</v>
      </c>
    </row>
    <row r="211" spans="15:19">
      <c r="O211" s="8"/>
      <c r="P211" s="8"/>
      <c r="R211" s="95">
        <v>464</v>
      </c>
      <c r="S211" s="98">
        <v>21.3</v>
      </c>
    </row>
    <row r="212" spans="15:19">
      <c r="O212" s="8"/>
      <c r="P212" s="8"/>
      <c r="R212" s="95">
        <v>465</v>
      </c>
      <c r="S212" s="98">
        <v>21</v>
      </c>
    </row>
    <row r="213" spans="15:19">
      <c r="O213" s="8"/>
      <c r="P213" s="8"/>
      <c r="R213" s="95">
        <v>466</v>
      </c>
      <c r="S213" s="98">
        <v>20.5</v>
      </c>
    </row>
    <row r="214" spans="15:19">
      <c r="O214" s="8"/>
      <c r="P214" s="8"/>
      <c r="R214" s="95">
        <v>467</v>
      </c>
      <c r="S214" s="98">
        <v>20</v>
      </c>
    </row>
    <row r="215" spans="15:19">
      <c r="O215" s="8"/>
      <c r="P215" s="8"/>
      <c r="R215" s="95">
        <v>468</v>
      </c>
      <c r="S215" s="98">
        <v>19.5</v>
      </c>
    </row>
    <row r="216" spans="15:19">
      <c r="O216" s="8"/>
      <c r="P216" s="8"/>
      <c r="R216" s="95">
        <v>469</v>
      </c>
      <c r="S216" s="98">
        <v>19</v>
      </c>
    </row>
    <row r="217" spans="15:19">
      <c r="O217" s="8"/>
      <c r="P217" s="8"/>
      <c r="R217" s="95">
        <v>470</v>
      </c>
      <c r="S217" s="98">
        <v>18.5</v>
      </c>
    </row>
    <row r="218" spans="15:19">
      <c r="O218" s="8"/>
      <c r="P218" s="8"/>
      <c r="R218" s="95">
        <v>471</v>
      </c>
      <c r="S218" s="98">
        <v>18</v>
      </c>
    </row>
    <row r="219" spans="15:19">
      <c r="O219" s="8"/>
      <c r="P219" s="8"/>
      <c r="R219" s="95">
        <v>472</v>
      </c>
      <c r="S219" s="98">
        <v>17.7</v>
      </c>
    </row>
    <row r="220" spans="15:19">
      <c r="O220" s="8"/>
      <c r="P220" s="8"/>
      <c r="R220" s="95">
        <v>473</v>
      </c>
      <c r="S220" s="98">
        <v>17.3</v>
      </c>
    </row>
    <row r="221" spans="15:19">
      <c r="O221" s="8"/>
      <c r="P221" s="8"/>
      <c r="R221" s="95">
        <v>474</v>
      </c>
      <c r="S221" s="98">
        <v>17</v>
      </c>
    </row>
    <row r="222" spans="15:19">
      <c r="O222" s="8"/>
      <c r="P222" s="8"/>
      <c r="R222" s="95">
        <v>475</v>
      </c>
      <c r="S222" s="98">
        <v>16.7</v>
      </c>
    </row>
    <row r="223" spans="15:19">
      <c r="O223" s="8"/>
      <c r="P223" s="8"/>
      <c r="R223" s="95">
        <v>476</v>
      </c>
      <c r="S223" s="98">
        <v>16.3</v>
      </c>
    </row>
    <row r="224" spans="15:19">
      <c r="O224" s="8"/>
      <c r="P224" s="8"/>
      <c r="R224" s="95">
        <v>477</v>
      </c>
      <c r="S224" s="98">
        <v>16</v>
      </c>
    </row>
    <row r="225" spans="15:19">
      <c r="O225" s="8"/>
      <c r="P225" s="8"/>
      <c r="R225" s="95">
        <v>478</v>
      </c>
      <c r="S225" s="98">
        <v>15.7</v>
      </c>
    </row>
    <row r="226" spans="15:19">
      <c r="O226" s="8"/>
      <c r="P226" s="8"/>
      <c r="R226" s="95">
        <v>479</v>
      </c>
      <c r="S226" s="98">
        <v>15.3</v>
      </c>
    </row>
    <row r="227" spans="15:19">
      <c r="O227" s="8"/>
      <c r="P227" s="8"/>
      <c r="R227" s="95">
        <v>480</v>
      </c>
      <c r="S227" s="98">
        <v>15</v>
      </c>
    </row>
    <row r="228" spans="15:19">
      <c r="O228" s="8"/>
      <c r="P228" s="8"/>
      <c r="R228" s="95">
        <v>481</v>
      </c>
      <c r="S228" s="98">
        <v>14.7</v>
      </c>
    </row>
    <row r="229" spans="15:19">
      <c r="O229" s="8"/>
      <c r="P229" s="8"/>
      <c r="R229" s="95">
        <v>482</v>
      </c>
      <c r="S229" s="98">
        <v>14.3</v>
      </c>
    </row>
    <row r="230" spans="15:19">
      <c r="O230" s="8"/>
      <c r="P230" s="8"/>
      <c r="R230" s="95">
        <v>483</v>
      </c>
      <c r="S230" s="98">
        <v>14</v>
      </c>
    </row>
    <row r="231" spans="15:19">
      <c r="O231" s="8"/>
      <c r="P231" s="8"/>
      <c r="R231" s="95">
        <v>484</v>
      </c>
      <c r="S231" s="98">
        <v>13.7</v>
      </c>
    </row>
    <row r="232" spans="15:19">
      <c r="O232" s="8"/>
      <c r="P232" s="8"/>
      <c r="R232" s="95">
        <v>485</v>
      </c>
      <c r="S232" s="98">
        <v>13.3</v>
      </c>
    </row>
    <row r="233" spans="15:19">
      <c r="O233" s="8"/>
      <c r="P233" s="8"/>
      <c r="R233" s="95">
        <v>486</v>
      </c>
      <c r="S233" s="98">
        <v>13</v>
      </c>
    </row>
    <row r="234" spans="15:19">
      <c r="O234" s="8"/>
      <c r="P234" s="8"/>
      <c r="R234" s="95">
        <v>487</v>
      </c>
      <c r="S234" s="98">
        <v>12.7</v>
      </c>
    </row>
    <row r="235" spans="15:19">
      <c r="O235" s="8"/>
      <c r="P235" s="8"/>
      <c r="R235" s="95">
        <v>488</v>
      </c>
      <c r="S235" s="98">
        <v>12.3</v>
      </c>
    </row>
    <row r="236" spans="15:19">
      <c r="O236" s="8"/>
      <c r="P236" s="8"/>
      <c r="R236" s="95">
        <v>489</v>
      </c>
      <c r="S236" s="98">
        <v>12</v>
      </c>
    </row>
    <row r="237" spans="15:19">
      <c r="O237" s="8"/>
      <c r="P237" s="8"/>
      <c r="R237" s="95">
        <v>490</v>
      </c>
      <c r="S237" s="98">
        <v>11.7</v>
      </c>
    </row>
    <row r="238" spans="15:19">
      <c r="O238" s="8"/>
      <c r="P238" s="8"/>
      <c r="R238" s="95">
        <v>491</v>
      </c>
      <c r="S238" s="98">
        <v>11.3</v>
      </c>
    </row>
    <row r="239" spans="15:19">
      <c r="O239" s="8"/>
      <c r="P239" s="8"/>
      <c r="R239" s="95">
        <v>492</v>
      </c>
      <c r="S239" s="98">
        <v>11</v>
      </c>
    </row>
    <row r="240" spans="15:19">
      <c r="O240" s="8"/>
      <c r="P240" s="8"/>
      <c r="R240" s="95">
        <v>493</v>
      </c>
      <c r="S240" s="98">
        <v>10.7</v>
      </c>
    </row>
    <row r="241" spans="15:19">
      <c r="O241" s="8"/>
      <c r="P241" s="8"/>
      <c r="R241" s="95">
        <v>494</v>
      </c>
      <c r="S241" s="98">
        <v>10.3</v>
      </c>
    </row>
    <row r="242" spans="15:19">
      <c r="O242" s="8"/>
      <c r="P242" s="8"/>
      <c r="R242" s="95">
        <v>495</v>
      </c>
      <c r="S242" s="98">
        <v>10</v>
      </c>
    </row>
    <row r="243" spans="15:19">
      <c r="O243" s="8"/>
      <c r="P243" s="8"/>
      <c r="R243" s="95">
        <v>496</v>
      </c>
      <c r="S243" s="98">
        <v>9.6999999999999993</v>
      </c>
    </row>
    <row r="244" spans="15:19">
      <c r="O244" s="8"/>
      <c r="P244" s="8"/>
      <c r="R244" s="95">
        <v>497</v>
      </c>
      <c r="S244" s="98">
        <v>9.3000000000000007</v>
      </c>
    </row>
    <row r="245" spans="15:19">
      <c r="O245" s="8"/>
      <c r="P245" s="8"/>
      <c r="R245" s="95">
        <v>498</v>
      </c>
      <c r="S245" s="98">
        <v>9</v>
      </c>
    </row>
    <row r="246" spans="15:19">
      <c r="O246" s="8"/>
      <c r="P246" s="8"/>
      <c r="R246" s="95">
        <v>499</v>
      </c>
      <c r="S246" s="98">
        <v>8.6999999999999993</v>
      </c>
    </row>
    <row r="247" spans="15:19">
      <c r="O247" s="8"/>
      <c r="P247" s="8"/>
      <c r="R247" s="95">
        <v>500</v>
      </c>
      <c r="S247" s="98">
        <v>8.3000000000000007</v>
      </c>
    </row>
    <row r="248" spans="15:19">
      <c r="O248" s="8"/>
      <c r="P248" s="8"/>
      <c r="R248" s="95">
        <v>501</v>
      </c>
      <c r="S248" s="98">
        <v>8</v>
      </c>
    </row>
    <row r="249" spans="15:19">
      <c r="O249" s="8"/>
      <c r="P249" s="8"/>
      <c r="R249" s="95">
        <v>502</v>
      </c>
      <c r="S249" s="98">
        <v>7.7</v>
      </c>
    </row>
    <row r="250" spans="15:19">
      <c r="O250" s="8"/>
      <c r="P250" s="8"/>
      <c r="R250" s="95">
        <v>503</v>
      </c>
      <c r="S250" s="98">
        <v>7.3</v>
      </c>
    </row>
    <row r="251" spans="15:19">
      <c r="O251" s="8"/>
      <c r="P251" s="8"/>
      <c r="R251" s="95">
        <v>504</v>
      </c>
      <c r="S251" s="98">
        <v>7</v>
      </c>
    </row>
    <row r="252" spans="15:19">
      <c r="O252" s="8"/>
      <c r="P252" s="8"/>
      <c r="R252" s="95">
        <v>505</v>
      </c>
      <c r="S252" s="98">
        <v>6.7</v>
      </c>
    </row>
    <row r="253" spans="15:19">
      <c r="O253" s="8"/>
      <c r="P253" s="8"/>
      <c r="R253" s="95">
        <v>506</v>
      </c>
      <c r="S253" s="98">
        <v>6.3</v>
      </c>
    </row>
    <row r="254" spans="15:19">
      <c r="O254" s="8"/>
      <c r="P254" s="8"/>
      <c r="R254" s="95">
        <v>507</v>
      </c>
      <c r="S254" s="98">
        <v>6</v>
      </c>
    </row>
    <row r="255" spans="15:19">
      <c r="O255" s="8"/>
      <c r="P255" s="8"/>
      <c r="R255" s="95">
        <v>508</v>
      </c>
      <c r="S255" s="98">
        <v>5.7</v>
      </c>
    </row>
    <row r="256" spans="15:19">
      <c r="O256" s="8"/>
      <c r="P256" s="8"/>
      <c r="R256" s="95">
        <v>509</v>
      </c>
      <c r="S256" s="98">
        <v>5.3</v>
      </c>
    </row>
    <row r="257" spans="15:19">
      <c r="O257" s="8"/>
      <c r="P257" s="8"/>
      <c r="R257" s="95">
        <v>510</v>
      </c>
      <c r="S257" s="98">
        <v>5</v>
      </c>
    </row>
    <row r="258" spans="15:19">
      <c r="O258" s="8"/>
      <c r="P258" s="8"/>
      <c r="R258" s="95">
        <v>511</v>
      </c>
      <c r="S258" s="98">
        <v>4.7</v>
      </c>
    </row>
    <row r="259" spans="15:19">
      <c r="O259" s="8"/>
      <c r="P259" s="8"/>
      <c r="R259" s="95">
        <v>512</v>
      </c>
      <c r="S259" s="98">
        <v>4.3</v>
      </c>
    </row>
    <row r="260" spans="15:19">
      <c r="O260" s="8"/>
      <c r="P260" s="8"/>
      <c r="R260" s="95">
        <v>513</v>
      </c>
      <c r="S260" s="98">
        <v>4</v>
      </c>
    </row>
    <row r="261" spans="15:19">
      <c r="O261" s="8"/>
      <c r="P261" s="8"/>
      <c r="R261" s="95">
        <v>514</v>
      </c>
      <c r="S261" s="98">
        <v>3.7</v>
      </c>
    </row>
    <row r="262" spans="15:19">
      <c r="O262" s="8"/>
      <c r="P262" s="8"/>
      <c r="R262" s="95">
        <v>515</v>
      </c>
      <c r="S262" s="98">
        <v>3.5</v>
      </c>
    </row>
    <row r="263" spans="15:19">
      <c r="O263" s="8"/>
      <c r="P263" s="8"/>
      <c r="R263" s="95">
        <v>516</v>
      </c>
      <c r="S263" s="98">
        <v>3.3</v>
      </c>
    </row>
    <row r="264" spans="15:19">
      <c r="O264" s="8"/>
      <c r="P264" s="8"/>
      <c r="R264" s="95">
        <v>517</v>
      </c>
      <c r="S264" s="98">
        <v>3</v>
      </c>
    </row>
    <row r="265" spans="15:19">
      <c r="O265" s="8"/>
      <c r="P265" s="8"/>
      <c r="R265" s="95">
        <v>518</v>
      </c>
      <c r="S265" s="98">
        <v>2.7</v>
      </c>
    </row>
    <row r="266" spans="15:19">
      <c r="O266" s="8"/>
      <c r="P266" s="8"/>
      <c r="R266" s="95">
        <v>519</v>
      </c>
      <c r="S266" s="98">
        <v>2.5</v>
      </c>
    </row>
    <row r="267" spans="15:19">
      <c r="O267" s="8"/>
      <c r="P267" s="8"/>
      <c r="R267" s="95">
        <v>520</v>
      </c>
      <c r="S267" s="98">
        <v>2.2999999999999998</v>
      </c>
    </row>
    <row r="268" spans="15:19">
      <c r="O268" s="8"/>
      <c r="P268" s="8"/>
      <c r="R268" s="95">
        <v>521</v>
      </c>
      <c r="S268" s="98">
        <v>2</v>
      </c>
    </row>
    <row r="269" spans="15:19">
      <c r="O269" s="8"/>
      <c r="P269" s="8"/>
      <c r="R269" s="95">
        <v>522</v>
      </c>
      <c r="S269" s="98">
        <v>1.8</v>
      </c>
    </row>
    <row r="270" spans="15:19">
      <c r="O270" s="8"/>
      <c r="P270" s="8"/>
      <c r="R270" s="95">
        <v>523</v>
      </c>
      <c r="S270" s="98">
        <v>1.6</v>
      </c>
    </row>
    <row r="271" spans="15:19">
      <c r="O271" s="8"/>
      <c r="P271" s="8"/>
      <c r="R271" s="95">
        <v>524</v>
      </c>
      <c r="S271" s="98">
        <v>1.4</v>
      </c>
    </row>
    <row r="272" spans="15:19">
      <c r="O272" s="8"/>
      <c r="P272" s="8"/>
      <c r="R272" s="95">
        <v>525</v>
      </c>
      <c r="S272" s="98">
        <v>1.2</v>
      </c>
    </row>
    <row r="273" spans="15:19">
      <c r="O273" s="8"/>
      <c r="P273" s="8"/>
      <c r="R273" s="95">
        <v>526</v>
      </c>
      <c r="S273" s="98">
        <v>1</v>
      </c>
    </row>
    <row r="274" spans="15:19">
      <c r="O274" s="8"/>
      <c r="P274" s="8"/>
      <c r="R274" s="95">
        <v>527</v>
      </c>
      <c r="S274" s="98">
        <v>0.8</v>
      </c>
    </row>
    <row r="275" spans="15:19">
      <c r="O275" s="8"/>
      <c r="P275" s="8"/>
      <c r="R275" s="95">
        <v>528</v>
      </c>
      <c r="S275" s="98">
        <v>0.6</v>
      </c>
    </row>
    <row r="276" spans="15:19">
      <c r="O276" s="8"/>
      <c r="P276" s="8"/>
      <c r="R276" s="95">
        <v>529</v>
      </c>
      <c r="S276" s="98">
        <v>0.5</v>
      </c>
    </row>
    <row r="277" spans="15:19">
      <c r="O277" s="8"/>
      <c r="P277" s="8"/>
      <c r="R277" s="95">
        <v>530</v>
      </c>
      <c r="S277" s="98">
        <v>0.4</v>
      </c>
    </row>
    <row r="278" spans="15:19">
      <c r="O278" s="8"/>
      <c r="P278" s="8"/>
      <c r="R278" s="95">
        <v>531</v>
      </c>
      <c r="S278" s="98">
        <v>0.3</v>
      </c>
    </row>
    <row r="279" spans="15:19">
      <c r="O279" s="8"/>
      <c r="P279" s="8"/>
      <c r="R279" s="95">
        <v>532</v>
      </c>
      <c r="S279" s="98">
        <v>0.27</v>
      </c>
    </row>
    <row r="280" spans="15:19">
      <c r="O280" s="8"/>
      <c r="P280" s="8"/>
      <c r="R280" s="95">
        <v>533</v>
      </c>
      <c r="S280" s="98">
        <v>0.23</v>
      </c>
    </row>
    <row r="281" spans="15:19">
      <c r="O281" s="8"/>
      <c r="P281" s="8"/>
      <c r="R281" s="95">
        <v>534</v>
      </c>
      <c r="S281" s="98">
        <v>0.2</v>
      </c>
    </row>
    <row r="282" spans="15:19">
      <c r="O282" s="8"/>
      <c r="P282" s="8"/>
      <c r="R282" s="95">
        <v>535</v>
      </c>
      <c r="S282" s="98">
        <v>0.16</v>
      </c>
    </row>
    <row r="283" spans="15:19">
      <c r="O283" s="8"/>
      <c r="P283" s="8"/>
      <c r="R283" s="95">
        <v>536</v>
      </c>
      <c r="S283" s="98">
        <v>0.13</v>
      </c>
    </row>
    <row r="284" spans="15:19">
      <c r="O284" s="8"/>
      <c r="P284" s="8"/>
      <c r="R284" s="95">
        <v>537</v>
      </c>
      <c r="S284" s="98">
        <v>0.1</v>
      </c>
    </row>
    <row r="285" spans="15:19">
      <c r="O285" s="8"/>
      <c r="P285" s="8"/>
      <c r="R285" s="95">
        <v>538</v>
      </c>
      <c r="S285" s="98">
        <v>7.0000000000000007E-2</v>
      </c>
    </row>
    <row r="286" spans="15:19">
      <c r="O286" s="8"/>
      <c r="P286" s="8"/>
      <c r="R286" s="95">
        <v>539</v>
      </c>
      <c r="S286" s="98">
        <v>0.05</v>
      </c>
    </row>
    <row r="287" spans="15:19">
      <c r="O287" s="8"/>
      <c r="P287" s="8"/>
      <c r="R287" s="95">
        <v>540</v>
      </c>
      <c r="S287" s="98">
        <v>0.03</v>
      </c>
    </row>
    <row r="288" spans="15:19">
      <c r="O288" s="8"/>
      <c r="P288" s="8"/>
      <c r="R288" s="95">
        <v>541</v>
      </c>
      <c r="S288" s="98">
        <v>0.01</v>
      </c>
    </row>
    <row r="289" spans="15:19">
      <c r="O289" s="8"/>
      <c r="P289" s="8"/>
      <c r="R289" s="95">
        <v>542</v>
      </c>
      <c r="S289" s="98">
        <v>7.0000000000000001E-3</v>
      </c>
    </row>
    <row r="290" spans="15:19">
      <c r="O290" s="8"/>
      <c r="P290" s="8"/>
      <c r="R290" s="95">
        <v>543</v>
      </c>
      <c r="S290" s="98">
        <v>5.0000000000000001E-3</v>
      </c>
    </row>
    <row r="291" spans="15:19">
      <c r="O291" s="8"/>
      <c r="P291" s="8"/>
    </row>
    <row r="292" spans="15:19">
      <c r="O292" s="8"/>
      <c r="P292" s="8"/>
      <c r="R292" s="8"/>
      <c r="S292" s="8"/>
    </row>
    <row r="293" spans="15:19">
      <c r="O293" s="8"/>
      <c r="P293" s="8"/>
      <c r="R293" s="8"/>
      <c r="S293" s="8"/>
    </row>
    <row r="294" spans="15:19">
      <c r="O294" s="8"/>
      <c r="P294" s="8"/>
      <c r="R294" s="8"/>
      <c r="S294" s="8"/>
    </row>
    <row r="295" spans="15:19">
      <c r="O295" s="8"/>
      <c r="P295" s="8"/>
      <c r="R295" s="8"/>
      <c r="S295" s="8"/>
    </row>
    <row r="296" spans="15:19">
      <c r="O296" s="8"/>
      <c r="P296" s="8"/>
      <c r="R296" s="8"/>
      <c r="S296" s="8"/>
    </row>
    <row r="297" spans="15:19">
      <c r="O297" s="8"/>
      <c r="P297" s="8"/>
      <c r="R297" s="8"/>
      <c r="S297" s="8"/>
    </row>
    <row r="298" spans="15:19">
      <c r="O298" s="8"/>
      <c r="P298" s="8"/>
      <c r="R298" s="8"/>
      <c r="S298" s="8"/>
    </row>
    <row r="299" spans="15:19">
      <c r="O299" s="8"/>
      <c r="P299" s="8"/>
      <c r="R299" s="8"/>
      <c r="S299" s="8"/>
    </row>
    <row r="300" spans="15:19">
      <c r="O300" s="8"/>
      <c r="P300" s="8"/>
      <c r="R300" s="8"/>
      <c r="S300" s="8"/>
    </row>
    <row r="301" spans="15:19">
      <c r="O301" s="8"/>
      <c r="P301" s="8"/>
      <c r="R301" s="8"/>
      <c r="S301" s="8"/>
    </row>
    <row r="302" spans="15:19">
      <c r="O302" s="8"/>
      <c r="P302" s="8"/>
      <c r="R302" s="8"/>
      <c r="S302" s="8"/>
    </row>
    <row r="303" spans="15:19">
      <c r="O303" s="8"/>
      <c r="P303" s="8"/>
      <c r="R303" s="8"/>
      <c r="S303" s="8"/>
    </row>
    <row r="304" spans="15:19">
      <c r="O304" s="8"/>
      <c r="P304" s="8"/>
      <c r="R304" s="8"/>
      <c r="S304" s="8"/>
    </row>
    <row r="305" spans="15:19">
      <c r="O305" s="8"/>
      <c r="P305" s="8"/>
      <c r="R305" s="8"/>
      <c r="S305" s="8"/>
    </row>
    <row r="306" spans="15:19">
      <c r="O306" s="8"/>
      <c r="P306" s="8"/>
      <c r="R306" s="8"/>
      <c r="S306" s="8"/>
    </row>
    <row r="307" spans="15:19">
      <c r="O307" s="8"/>
      <c r="P307" s="8"/>
      <c r="R307" s="8"/>
      <c r="S307" s="8"/>
    </row>
    <row r="308" spans="15:19">
      <c r="O308" s="8"/>
      <c r="P308" s="8"/>
      <c r="R308" s="8"/>
      <c r="S308" s="8"/>
    </row>
    <row r="309" spans="15:19">
      <c r="O309" s="8"/>
      <c r="P309" s="8"/>
      <c r="R309" s="8"/>
      <c r="S309" s="8"/>
    </row>
    <row r="310" spans="15:19">
      <c r="O310" s="8"/>
      <c r="P310" s="8"/>
      <c r="R310" s="8"/>
      <c r="S310" s="8"/>
    </row>
    <row r="311" spans="15:19">
      <c r="O311" s="8"/>
      <c r="P311" s="8"/>
      <c r="R311" s="8"/>
      <c r="S311" s="8"/>
    </row>
    <row r="312" spans="15:19">
      <c r="O312" s="8"/>
      <c r="P312" s="8"/>
      <c r="R312" s="8"/>
      <c r="S312" s="8"/>
    </row>
    <row r="313" spans="15:19">
      <c r="O313" s="8"/>
      <c r="P313" s="8"/>
      <c r="R313" s="8"/>
      <c r="S313" s="8"/>
    </row>
    <row r="314" spans="15:19">
      <c r="O314" s="8"/>
      <c r="P314" s="8"/>
      <c r="R314" s="8"/>
      <c r="S314" s="8"/>
    </row>
    <row r="315" spans="15:19">
      <c r="O315" s="8"/>
      <c r="P315" s="8"/>
      <c r="R315" s="8"/>
      <c r="S315" s="8"/>
    </row>
    <row r="316" spans="15:19">
      <c r="O316" s="8"/>
      <c r="P316" s="8"/>
      <c r="R316" s="8"/>
      <c r="S316" s="8"/>
    </row>
    <row r="317" spans="15:19">
      <c r="O317" s="8"/>
      <c r="P317" s="8"/>
      <c r="R317" s="8"/>
      <c r="S317" s="8"/>
    </row>
    <row r="318" spans="15:19">
      <c r="O318" s="8"/>
      <c r="P318" s="8"/>
      <c r="R318" s="8"/>
      <c r="S318" s="8"/>
    </row>
    <row r="319" spans="15:19">
      <c r="O319" s="8"/>
      <c r="P319" s="8"/>
      <c r="R319" s="8"/>
      <c r="S319" s="8"/>
    </row>
    <row r="320" spans="15:19">
      <c r="O320" s="8"/>
      <c r="P320" s="8"/>
      <c r="R320" s="8"/>
      <c r="S320" s="8"/>
    </row>
    <row r="321" spans="15:19">
      <c r="O321" s="8"/>
      <c r="P321" s="8"/>
      <c r="R321" s="8"/>
      <c r="S321" s="8"/>
    </row>
    <row r="322" spans="15:19">
      <c r="O322" s="8"/>
      <c r="P322" s="8"/>
      <c r="R322" s="8"/>
      <c r="S322" s="8"/>
    </row>
    <row r="323" spans="15:19">
      <c r="O323" s="8"/>
      <c r="P323" s="8"/>
      <c r="R323" s="8"/>
      <c r="S323" s="8"/>
    </row>
    <row r="324" spans="15:19">
      <c r="O324" s="8"/>
      <c r="P324" s="8"/>
      <c r="R324" s="8"/>
      <c r="S324" s="8"/>
    </row>
    <row r="325" spans="15:19">
      <c r="O325" s="8"/>
      <c r="P325" s="8"/>
      <c r="R325" s="8"/>
      <c r="S325" s="8"/>
    </row>
  </sheetData>
  <sheetProtection algorithmName="SHA-512" hashValue="VZ62NIV2hdPJ334OuvY4Bv8W17OD9elmxcYD6fv4pCIUibZoA3Ff8CuyuqEj8hCJoCj5d49i/BR+EfuFTHVUSQ==" saltValue="jxxpf/w147M/45ZT3ycweA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3"/>
  <sheetViews>
    <sheetView workbookViewId="0">
      <selection activeCell="G19" sqref="F19:G20"/>
    </sheetView>
  </sheetViews>
  <sheetFormatPr defaultRowHeight="16.5"/>
  <cols>
    <col min="1" max="1" width="9" style="93"/>
    <col min="2" max="2" width="12.875" style="93" customWidth="1"/>
    <col min="3" max="4" width="9" style="93"/>
    <col min="5" max="5" width="12.875" style="93" customWidth="1"/>
    <col min="6" max="6" width="9" style="93"/>
    <col min="7" max="7" width="9" style="8"/>
    <col min="8" max="8" width="12.875" style="8" customWidth="1"/>
    <col min="10" max="10" width="9" style="8"/>
    <col min="11" max="11" width="12.875" style="8" customWidth="1"/>
    <col min="13" max="13" width="9" style="93"/>
    <col min="14" max="14" width="12.875" style="93" customWidth="1"/>
    <col min="15" max="16" width="9" style="93"/>
    <col min="17" max="17" width="12.875" style="93" customWidth="1"/>
    <col min="18" max="18" width="9" style="93"/>
    <col min="19" max="19" width="9" style="8"/>
    <col min="20" max="20" width="12.875" style="8" customWidth="1"/>
    <col min="22" max="22" width="9" style="93"/>
    <col min="23" max="23" width="12.875" style="93" customWidth="1"/>
    <col min="24" max="25" width="9" style="93"/>
    <col min="26" max="26" width="12.875" style="93" customWidth="1"/>
    <col min="27" max="28" width="9" style="93"/>
    <col min="29" max="29" width="13.375" style="93" customWidth="1"/>
    <col min="30" max="33" width="9" style="93"/>
  </cols>
  <sheetData>
    <row r="1" spans="1:33">
      <c r="A1" s="93" t="s">
        <v>262</v>
      </c>
      <c r="B1" s="94" t="s">
        <v>274</v>
      </c>
      <c r="C1" s="94"/>
      <c r="D1" s="93" t="s">
        <v>45</v>
      </c>
      <c r="E1" s="94" t="s">
        <v>274</v>
      </c>
      <c r="G1" s="93" t="s">
        <v>263</v>
      </c>
      <c r="H1" s="94" t="s">
        <v>264</v>
      </c>
      <c r="I1" s="93"/>
      <c r="J1" s="93" t="s">
        <v>28</v>
      </c>
      <c r="K1" s="94" t="s">
        <v>1516</v>
      </c>
      <c r="L1" s="93"/>
      <c r="M1" s="93" t="s">
        <v>265</v>
      </c>
      <c r="N1" s="94" t="s">
        <v>187</v>
      </c>
      <c r="P1" s="93" t="s">
        <v>29</v>
      </c>
      <c r="Q1" s="94" t="s">
        <v>1516</v>
      </c>
      <c r="S1" s="93" t="s">
        <v>11</v>
      </c>
      <c r="T1" s="94" t="s">
        <v>264</v>
      </c>
      <c r="U1" s="93"/>
      <c r="V1" s="93" t="s">
        <v>30</v>
      </c>
      <c r="W1" s="94" t="s">
        <v>275</v>
      </c>
      <c r="Y1" s="93" t="s">
        <v>148</v>
      </c>
      <c r="Z1" s="94" t="s">
        <v>217</v>
      </c>
      <c r="AB1" s="93" t="s">
        <v>167</v>
      </c>
      <c r="AC1" s="94" t="s">
        <v>274</v>
      </c>
      <c r="AE1" s="93" t="s">
        <v>173</v>
      </c>
      <c r="AF1" s="94" t="s">
        <v>217</v>
      </c>
    </row>
    <row r="2" spans="1:33">
      <c r="A2" s="93" t="s">
        <v>17</v>
      </c>
      <c r="B2" s="93" t="s">
        <v>27</v>
      </c>
      <c r="C2" s="94" t="s">
        <v>34</v>
      </c>
      <c r="D2" s="93" t="s">
        <v>17</v>
      </c>
      <c r="E2" s="93" t="s">
        <v>27</v>
      </c>
      <c r="F2" s="93" t="s">
        <v>34</v>
      </c>
      <c r="G2" s="93" t="s">
        <v>266</v>
      </c>
      <c r="H2" s="93" t="s">
        <v>27</v>
      </c>
      <c r="I2" s="93" t="s">
        <v>34</v>
      </c>
      <c r="J2" s="93" t="s">
        <v>17</v>
      </c>
      <c r="K2" s="93" t="s">
        <v>27</v>
      </c>
      <c r="L2" s="93" t="s">
        <v>267</v>
      </c>
      <c r="M2" s="93" t="s">
        <v>17</v>
      </c>
      <c r="N2" s="93" t="s">
        <v>27</v>
      </c>
      <c r="O2" s="93" t="s">
        <v>34</v>
      </c>
      <c r="P2" s="93" t="s">
        <v>17</v>
      </c>
      <c r="Q2" s="93" t="s">
        <v>268</v>
      </c>
      <c r="R2" s="93" t="s">
        <v>34</v>
      </c>
      <c r="S2" s="93" t="s">
        <v>266</v>
      </c>
      <c r="T2" s="93" t="s">
        <v>27</v>
      </c>
      <c r="U2" s="93" t="s">
        <v>269</v>
      </c>
      <c r="V2" s="93" t="s">
        <v>17</v>
      </c>
      <c r="W2" s="93" t="s">
        <v>270</v>
      </c>
      <c r="X2" s="93" t="s">
        <v>34</v>
      </c>
      <c r="Y2" s="93" t="s">
        <v>266</v>
      </c>
      <c r="Z2" s="93" t="s">
        <v>27</v>
      </c>
      <c r="AA2" s="93" t="s">
        <v>34</v>
      </c>
      <c r="AB2" s="93" t="s">
        <v>17</v>
      </c>
      <c r="AC2" s="93" t="s">
        <v>27</v>
      </c>
      <c r="AD2" s="93" t="s">
        <v>267</v>
      </c>
      <c r="AE2" s="93" t="s">
        <v>17</v>
      </c>
      <c r="AF2" s="93" t="s">
        <v>270</v>
      </c>
      <c r="AG2" s="93" t="s">
        <v>34</v>
      </c>
    </row>
    <row r="3" spans="1:33">
      <c r="A3" s="93">
        <v>100</v>
      </c>
      <c r="B3" s="93">
        <v>66.400000000000006</v>
      </c>
      <c r="C3" s="93">
        <v>66.400000000000006</v>
      </c>
      <c r="D3" s="93">
        <v>100</v>
      </c>
      <c r="E3" s="93">
        <v>66.400000000000006</v>
      </c>
      <c r="F3" s="93">
        <v>73.33</v>
      </c>
      <c r="G3" s="93">
        <v>100</v>
      </c>
      <c r="H3" s="93">
        <v>66.400000000000006</v>
      </c>
      <c r="I3" s="93">
        <v>66.400000000000006</v>
      </c>
      <c r="J3" s="93">
        <v>100</v>
      </c>
      <c r="K3" s="93">
        <v>66.400000000000006</v>
      </c>
      <c r="L3" s="93">
        <v>66.400000000000006</v>
      </c>
      <c r="M3" s="93">
        <v>100</v>
      </c>
      <c r="N3" s="93">
        <v>66.75</v>
      </c>
      <c r="O3" s="93">
        <v>66.75</v>
      </c>
      <c r="P3" s="93">
        <v>100</v>
      </c>
      <c r="Q3" s="93">
        <v>66.790000000000006</v>
      </c>
      <c r="R3" s="93">
        <v>66.790000000000006</v>
      </c>
      <c r="S3" s="93">
        <v>100</v>
      </c>
      <c r="T3" s="93">
        <v>66.400000000000006</v>
      </c>
      <c r="U3" s="93">
        <v>66.400000000000006</v>
      </c>
      <c r="V3" s="93">
        <v>100</v>
      </c>
      <c r="W3" s="93">
        <v>50</v>
      </c>
      <c r="X3" s="93">
        <v>50</v>
      </c>
      <c r="Y3" s="93">
        <v>100</v>
      </c>
      <c r="Z3" s="93">
        <v>67.040000000000006</v>
      </c>
      <c r="AA3" s="93">
        <v>67.040000000000006</v>
      </c>
      <c r="AB3" s="93">
        <v>100</v>
      </c>
      <c r="AC3" s="93">
        <v>66.400000000000006</v>
      </c>
      <c r="AD3" s="93">
        <v>66.400000000000006</v>
      </c>
      <c r="AE3" s="93">
        <v>100</v>
      </c>
      <c r="AF3" s="105">
        <v>68.5</v>
      </c>
      <c r="AG3" s="93">
        <v>73.78</v>
      </c>
    </row>
    <row r="4" spans="1:33">
      <c r="A4" s="93">
        <v>99</v>
      </c>
      <c r="B4" s="93">
        <v>66.19</v>
      </c>
      <c r="C4" s="93">
        <v>66.19</v>
      </c>
      <c r="D4" s="93">
        <v>99</v>
      </c>
      <c r="E4" s="93">
        <v>66.2</v>
      </c>
      <c r="F4" s="93">
        <v>72.72</v>
      </c>
      <c r="G4" s="93">
        <v>99</v>
      </c>
      <c r="H4" s="93">
        <v>66.2</v>
      </c>
      <c r="I4" s="93">
        <v>66.2</v>
      </c>
      <c r="J4" s="93">
        <v>99</v>
      </c>
      <c r="K4" s="93">
        <v>66.25</v>
      </c>
      <c r="L4" s="93">
        <v>66.25</v>
      </c>
      <c r="M4" s="93">
        <v>99</v>
      </c>
      <c r="N4" s="93">
        <v>66.3</v>
      </c>
      <c r="O4" s="93">
        <v>66.3</v>
      </c>
      <c r="P4" s="93">
        <v>99</v>
      </c>
      <c r="Q4" s="93">
        <v>66.31</v>
      </c>
      <c r="R4" s="93">
        <v>66.31</v>
      </c>
      <c r="S4" s="93">
        <v>99</v>
      </c>
      <c r="T4" s="93">
        <v>66.2</v>
      </c>
      <c r="U4" s="93">
        <v>66.2</v>
      </c>
      <c r="V4" s="93">
        <v>99</v>
      </c>
      <c r="W4" s="93">
        <v>49.85</v>
      </c>
      <c r="X4" s="93">
        <v>49.85</v>
      </c>
      <c r="Y4" s="93">
        <v>99</v>
      </c>
      <c r="Z4" s="93">
        <v>66.8</v>
      </c>
      <c r="AA4" s="93">
        <v>66.8</v>
      </c>
      <c r="AB4" s="93">
        <v>99</v>
      </c>
      <c r="AC4" s="93">
        <v>66.2</v>
      </c>
      <c r="AD4" s="93">
        <v>66.2</v>
      </c>
      <c r="AE4" s="93">
        <v>99</v>
      </c>
      <c r="AF4" s="105">
        <v>67.400000000000006</v>
      </c>
      <c r="AG4" s="93">
        <v>72.72</v>
      </c>
    </row>
    <row r="5" spans="1:33">
      <c r="A5" s="93">
        <v>98</v>
      </c>
      <c r="B5" s="93">
        <v>65.92</v>
      </c>
      <c r="C5" s="93">
        <v>65.92</v>
      </c>
      <c r="D5" s="93">
        <v>98</v>
      </c>
      <c r="E5" s="93">
        <v>65.849999999999994</v>
      </c>
      <c r="F5" s="93">
        <v>71.88</v>
      </c>
      <c r="G5" s="93">
        <v>98</v>
      </c>
      <c r="H5" s="93">
        <v>65.849999999999994</v>
      </c>
      <c r="I5" s="93">
        <v>65.849999999999994</v>
      </c>
      <c r="J5" s="93">
        <v>98</v>
      </c>
      <c r="K5" s="93">
        <v>66.11</v>
      </c>
      <c r="L5" s="93">
        <v>66.11</v>
      </c>
      <c r="M5" s="93">
        <v>98</v>
      </c>
      <c r="N5" s="93">
        <v>65.849999999999994</v>
      </c>
      <c r="O5" s="93">
        <v>65.849999999999994</v>
      </c>
      <c r="P5" s="93">
        <v>98</v>
      </c>
      <c r="Q5" s="93">
        <v>65.849999999999994</v>
      </c>
      <c r="R5" s="93">
        <v>65.849999999999994</v>
      </c>
      <c r="S5" s="93">
        <v>98</v>
      </c>
      <c r="T5" s="93">
        <v>65.849999999999994</v>
      </c>
      <c r="U5" s="93">
        <v>65.849999999999994</v>
      </c>
      <c r="V5" s="93">
        <v>98</v>
      </c>
      <c r="W5" s="93">
        <v>49.59</v>
      </c>
      <c r="X5" s="93">
        <v>49.59</v>
      </c>
      <c r="Y5" s="93">
        <v>98</v>
      </c>
      <c r="Z5" s="93">
        <v>66.37</v>
      </c>
      <c r="AA5" s="93">
        <v>66.37</v>
      </c>
      <c r="AB5" s="93">
        <v>98</v>
      </c>
      <c r="AC5" s="93">
        <v>65.849999999999994</v>
      </c>
      <c r="AD5" s="93">
        <v>65.849999999999994</v>
      </c>
      <c r="AE5" s="93">
        <v>98</v>
      </c>
      <c r="AF5" s="105">
        <v>66.349999999999994</v>
      </c>
      <c r="AG5" s="93">
        <v>71.89</v>
      </c>
    </row>
    <row r="6" spans="1:33">
      <c r="A6" s="93">
        <v>97</v>
      </c>
      <c r="B6" s="93">
        <v>65.48</v>
      </c>
      <c r="C6" s="93">
        <v>65.48</v>
      </c>
      <c r="D6" s="93">
        <v>97</v>
      </c>
      <c r="E6" s="93">
        <v>65.48</v>
      </c>
      <c r="F6" s="93">
        <v>71.05</v>
      </c>
      <c r="G6" s="93">
        <v>97</v>
      </c>
      <c r="H6" s="93">
        <v>65.48</v>
      </c>
      <c r="I6" s="93">
        <v>65.48</v>
      </c>
      <c r="J6" s="93">
        <v>97</v>
      </c>
      <c r="K6" s="93">
        <v>65.959999999999994</v>
      </c>
      <c r="L6" s="93">
        <v>65.959999999999994</v>
      </c>
      <c r="M6" s="93">
        <v>97</v>
      </c>
      <c r="N6" s="93">
        <v>65.48</v>
      </c>
      <c r="O6" s="93">
        <v>65.48</v>
      </c>
      <c r="P6" s="93">
        <v>97</v>
      </c>
      <c r="Q6" s="93">
        <v>65.48</v>
      </c>
      <c r="R6" s="93">
        <v>65.48</v>
      </c>
      <c r="S6" s="93">
        <v>97</v>
      </c>
      <c r="T6" s="93">
        <v>65.48</v>
      </c>
      <c r="U6" s="93">
        <v>65.48</v>
      </c>
      <c r="V6" s="93">
        <v>97</v>
      </c>
      <c r="W6" s="93">
        <v>49.31</v>
      </c>
      <c r="X6" s="93">
        <v>49.31</v>
      </c>
      <c r="Y6" s="93">
        <v>97</v>
      </c>
      <c r="Z6" s="93">
        <v>65.959999999999994</v>
      </c>
      <c r="AA6" s="93">
        <v>65.959999999999994</v>
      </c>
      <c r="AB6" s="93">
        <v>97</v>
      </c>
      <c r="AC6" s="93">
        <v>65.48</v>
      </c>
      <c r="AD6" s="93">
        <v>65.48</v>
      </c>
      <c r="AE6" s="93">
        <v>97</v>
      </c>
      <c r="AF6" s="105">
        <v>65.680000000000007</v>
      </c>
      <c r="AG6" s="93">
        <v>71.06</v>
      </c>
    </row>
    <row r="7" spans="1:33">
      <c r="A7" s="93">
        <v>96</v>
      </c>
      <c r="B7" s="93">
        <v>65.040000000000006</v>
      </c>
      <c r="C7" s="93">
        <v>65.040000000000006</v>
      </c>
      <c r="D7" s="93">
        <v>96</v>
      </c>
      <c r="E7" s="93">
        <v>65.099999999999994</v>
      </c>
      <c r="F7" s="93">
        <v>69.97</v>
      </c>
      <c r="G7" s="93">
        <v>96</v>
      </c>
      <c r="H7" s="93">
        <v>65.099999999999994</v>
      </c>
      <c r="I7" s="93">
        <v>65.099999999999994</v>
      </c>
      <c r="J7" s="93">
        <v>96</v>
      </c>
      <c r="K7" s="93">
        <v>65.83</v>
      </c>
      <c r="L7" s="93">
        <v>65.83</v>
      </c>
      <c r="M7" s="93">
        <v>96</v>
      </c>
      <c r="N7" s="93">
        <v>65.099999999999994</v>
      </c>
      <c r="O7" s="93">
        <v>65.099999999999994</v>
      </c>
      <c r="P7" s="93">
        <v>96</v>
      </c>
      <c r="Q7" s="93">
        <v>65.11</v>
      </c>
      <c r="R7" s="93">
        <v>65.11</v>
      </c>
      <c r="S7" s="93">
        <v>96</v>
      </c>
      <c r="T7" s="93">
        <v>65.099999999999994</v>
      </c>
      <c r="U7" s="93">
        <v>65.099999999999994</v>
      </c>
      <c r="V7" s="93">
        <v>96</v>
      </c>
      <c r="W7" s="93">
        <v>49.02</v>
      </c>
      <c r="X7" s="93">
        <v>49.02</v>
      </c>
      <c r="Y7" s="93">
        <v>96</v>
      </c>
      <c r="Z7" s="93">
        <v>65.099999999999994</v>
      </c>
      <c r="AA7" s="93">
        <v>65.099999999999994</v>
      </c>
      <c r="AB7" s="93">
        <v>96</v>
      </c>
      <c r="AC7" s="93">
        <v>65.099999999999994</v>
      </c>
      <c r="AD7" s="93">
        <v>65.099999999999994</v>
      </c>
      <c r="AE7" s="93">
        <v>96</v>
      </c>
      <c r="AF7" s="105">
        <v>65.099999999999994</v>
      </c>
      <c r="AG7" s="93">
        <v>69.97</v>
      </c>
    </row>
    <row r="8" spans="1:33">
      <c r="A8" s="93">
        <v>95</v>
      </c>
      <c r="B8" s="93">
        <v>64.67</v>
      </c>
      <c r="C8" s="93">
        <v>64.67</v>
      </c>
      <c r="D8" s="93">
        <v>95</v>
      </c>
      <c r="E8" s="93">
        <v>64.7</v>
      </c>
      <c r="F8" s="93">
        <v>69.2</v>
      </c>
      <c r="G8" s="93">
        <v>95</v>
      </c>
      <c r="H8" s="93">
        <v>64.7</v>
      </c>
      <c r="I8" s="93">
        <v>64.7</v>
      </c>
      <c r="J8" s="93">
        <v>95</v>
      </c>
      <c r="K8" s="93">
        <v>65.52</v>
      </c>
      <c r="L8" s="93">
        <v>65.52</v>
      </c>
      <c r="M8" s="93">
        <v>95</v>
      </c>
      <c r="N8" s="93">
        <v>64.7</v>
      </c>
      <c r="O8" s="93">
        <v>64.7</v>
      </c>
      <c r="P8" s="93">
        <v>95</v>
      </c>
      <c r="Q8" s="93">
        <v>64.69</v>
      </c>
      <c r="R8" s="93">
        <v>64.69</v>
      </c>
      <c r="S8" s="93">
        <v>95</v>
      </c>
      <c r="T8" s="93">
        <v>64.7</v>
      </c>
      <c r="U8" s="93">
        <v>64.7</v>
      </c>
      <c r="V8" s="93">
        <v>95</v>
      </c>
      <c r="W8" s="93">
        <v>48.72</v>
      </c>
      <c r="X8" s="93">
        <v>48.72</v>
      </c>
      <c r="Y8" s="93">
        <v>95</v>
      </c>
      <c r="Z8" s="93">
        <v>64.7</v>
      </c>
      <c r="AA8" s="93">
        <v>64.7</v>
      </c>
      <c r="AB8" s="93">
        <v>95</v>
      </c>
      <c r="AC8" s="93">
        <v>64.7</v>
      </c>
      <c r="AD8" s="93">
        <v>64.7</v>
      </c>
      <c r="AE8" s="93">
        <v>95</v>
      </c>
      <c r="AF8" s="105">
        <v>64.7</v>
      </c>
      <c r="AG8" s="93">
        <v>69.2</v>
      </c>
    </row>
    <row r="9" spans="1:33">
      <c r="A9" s="93">
        <v>94</v>
      </c>
      <c r="B9" s="93">
        <v>64.33</v>
      </c>
      <c r="C9" s="93">
        <v>64.33</v>
      </c>
      <c r="D9" s="93">
        <v>94</v>
      </c>
      <c r="E9" s="93">
        <v>64.33</v>
      </c>
      <c r="F9" s="93">
        <v>68.13</v>
      </c>
      <c r="G9" s="93">
        <v>94</v>
      </c>
      <c r="H9" s="93">
        <v>64.33</v>
      </c>
      <c r="I9" s="93">
        <v>64.33</v>
      </c>
      <c r="J9" s="93">
        <v>94</v>
      </c>
      <c r="K9" s="93">
        <v>65.22</v>
      </c>
      <c r="L9" s="93">
        <v>65.22</v>
      </c>
      <c r="M9" s="93">
        <v>94</v>
      </c>
      <c r="N9" s="93">
        <v>64.33</v>
      </c>
      <c r="O9" s="93">
        <v>64.33</v>
      </c>
      <c r="P9" s="93">
        <v>94</v>
      </c>
      <c r="Q9" s="93">
        <v>64.34</v>
      </c>
      <c r="R9" s="93">
        <v>64.34</v>
      </c>
      <c r="S9" s="93">
        <v>94</v>
      </c>
      <c r="T9" s="93">
        <v>64.33</v>
      </c>
      <c r="U9" s="93">
        <v>64.33</v>
      </c>
      <c r="V9" s="93">
        <v>94</v>
      </c>
      <c r="W9" s="93">
        <v>48.44</v>
      </c>
      <c r="X9" s="93">
        <v>48.44</v>
      </c>
      <c r="Y9" s="93">
        <v>94</v>
      </c>
      <c r="Z9" s="93">
        <v>64.33</v>
      </c>
      <c r="AA9" s="93">
        <v>64.33</v>
      </c>
      <c r="AB9" s="93">
        <v>94</v>
      </c>
      <c r="AC9" s="93">
        <v>64.33</v>
      </c>
      <c r="AD9" s="93">
        <v>64.33</v>
      </c>
      <c r="AE9" s="93">
        <v>94</v>
      </c>
      <c r="AF9" s="105">
        <v>64.33</v>
      </c>
      <c r="AG9" s="93">
        <v>68.14</v>
      </c>
    </row>
    <row r="10" spans="1:33">
      <c r="A10" s="93">
        <v>93</v>
      </c>
      <c r="B10" s="93">
        <v>64.03</v>
      </c>
      <c r="C10" s="93">
        <v>64.03</v>
      </c>
      <c r="D10" s="93">
        <v>93</v>
      </c>
      <c r="E10" s="93">
        <v>64.02</v>
      </c>
      <c r="F10" s="93">
        <v>67.09</v>
      </c>
      <c r="G10" s="93">
        <v>93</v>
      </c>
      <c r="H10" s="93">
        <v>64.03</v>
      </c>
      <c r="I10" s="93">
        <v>64.03</v>
      </c>
      <c r="J10" s="93">
        <v>93</v>
      </c>
      <c r="K10" s="93">
        <v>64.92</v>
      </c>
      <c r="L10" s="93">
        <v>64.92</v>
      </c>
      <c r="M10" s="93">
        <v>93</v>
      </c>
      <c r="N10" s="93">
        <v>64.03</v>
      </c>
      <c r="O10" s="93">
        <v>64.03</v>
      </c>
      <c r="P10" s="93">
        <v>93</v>
      </c>
      <c r="Q10" s="93">
        <v>64.040000000000006</v>
      </c>
      <c r="R10" s="93">
        <v>64.040000000000006</v>
      </c>
      <c r="S10" s="93">
        <v>93</v>
      </c>
      <c r="T10" s="93">
        <v>64.02</v>
      </c>
      <c r="U10" s="93">
        <v>64.02</v>
      </c>
      <c r="V10" s="93">
        <v>93</v>
      </c>
      <c r="W10" s="93">
        <v>48.21</v>
      </c>
      <c r="X10" s="93">
        <v>48.21</v>
      </c>
      <c r="Y10" s="93">
        <v>93</v>
      </c>
      <c r="Z10" s="93">
        <v>64.03</v>
      </c>
      <c r="AA10" s="93">
        <v>64.03</v>
      </c>
      <c r="AB10" s="93">
        <v>93</v>
      </c>
      <c r="AC10" s="93">
        <v>64.02</v>
      </c>
      <c r="AD10" s="93">
        <v>64.02</v>
      </c>
      <c r="AE10" s="93">
        <v>93</v>
      </c>
      <c r="AF10" s="105">
        <v>64.03</v>
      </c>
      <c r="AG10" s="93">
        <v>67.09</v>
      </c>
    </row>
    <row r="11" spans="1:33">
      <c r="A11" s="93">
        <v>92</v>
      </c>
      <c r="B11" s="93">
        <v>63.7</v>
      </c>
      <c r="C11" s="93">
        <v>63.7</v>
      </c>
      <c r="D11" s="93">
        <v>92</v>
      </c>
      <c r="E11" s="93">
        <v>63.7</v>
      </c>
      <c r="F11" s="93">
        <v>65.930000000000007</v>
      </c>
      <c r="G11" s="93">
        <v>92</v>
      </c>
      <c r="H11" s="93">
        <v>63.7</v>
      </c>
      <c r="I11" s="93">
        <v>63.7</v>
      </c>
      <c r="J11" s="93">
        <v>92</v>
      </c>
      <c r="K11" s="93">
        <v>64.61</v>
      </c>
      <c r="L11" s="93">
        <v>64.61</v>
      </c>
      <c r="M11" s="93">
        <v>92</v>
      </c>
      <c r="N11" s="93">
        <v>63.7</v>
      </c>
      <c r="O11" s="93">
        <v>63.7</v>
      </c>
      <c r="P11" s="93">
        <v>92</v>
      </c>
      <c r="Q11" s="93">
        <v>63.68</v>
      </c>
      <c r="R11" s="93">
        <v>63.68</v>
      </c>
      <c r="S11" s="93">
        <v>92</v>
      </c>
      <c r="T11" s="93">
        <v>63.7</v>
      </c>
      <c r="U11" s="93">
        <v>63.7</v>
      </c>
      <c r="V11" s="93">
        <v>92</v>
      </c>
      <c r="W11" s="93">
        <v>47.97</v>
      </c>
      <c r="X11" s="93">
        <v>47.97</v>
      </c>
      <c r="Y11" s="93">
        <v>92</v>
      </c>
      <c r="Z11" s="93">
        <v>63.7</v>
      </c>
      <c r="AA11" s="93">
        <v>63.7</v>
      </c>
      <c r="AB11" s="93">
        <v>92</v>
      </c>
      <c r="AC11" s="93">
        <v>63.7</v>
      </c>
      <c r="AD11" s="93">
        <v>63.7</v>
      </c>
      <c r="AE11" s="93">
        <v>92</v>
      </c>
      <c r="AF11" s="105">
        <v>63.7</v>
      </c>
      <c r="AG11" s="93">
        <v>65.930000000000007</v>
      </c>
    </row>
    <row r="12" spans="1:33">
      <c r="A12" s="93">
        <v>91</v>
      </c>
      <c r="B12" s="93">
        <v>63.39</v>
      </c>
      <c r="C12" s="93">
        <v>63.39</v>
      </c>
      <c r="D12" s="93">
        <v>91</v>
      </c>
      <c r="E12" s="93">
        <v>63.38</v>
      </c>
      <c r="F12" s="93">
        <v>64.58</v>
      </c>
      <c r="G12" s="93">
        <v>91</v>
      </c>
      <c r="H12" s="93">
        <v>63.39</v>
      </c>
      <c r="I12" s="93">
        <v>63.39</v>
      </c>
      <c r="J12" s="93">
        <v>91</v>
      </c>
      <c r="K12" s="93">
        <v>64.31</v>
      </c>
      <c r="L12" s="93">
        <v>64.31</v>
      </c>
      <c r="M12" s="93">
        <v>91</v>
      </c>
      <c r="N12" s="93">
        <v>63.39</v>
      </c>
      <c r="O12" s="93">
        <v>63.39</v>
      </c>
      <c r="P12" s="93">
        <v>91</v>
      </c>
      <c r="Q12" s="93">
        <v>63.39</v>
      </c>
      <c r="R12" s="93">
        <v>63.39</v>
      </c>
      <c r="S12" s="93">
        <v>91</v>
      </c>
      <c r="T12" s="93">
        <v>63.38</v>
      </c>
      <c r="U12" s="93">
        <v>63.38</v>
      </c>
      <c r="V12" s="93">
        <v>91</v>
      </c>
      <c r="W12" s="93">
        <v>47.73</v>
      </c>
      <c r="X12" s="93">
        <v>47.73</v>
      </c>
      <c r="Y12" s="93">
        <v>91</v>
      </c>
      <c r="Z12" s="93">
        <v>63.39</v>
      </c>
      <c r="AA12" s="93">
        <v>63.39</v>
      </c>
      <c r="AB12" s="93">
        <v>91</v>
      </c>
      <c r="AC12" s="93">
        <v>63.38</v>
      </c>
      <c r="AD12" s="93">
        <v>63.38</v>
      </c>
      <c r="AE12" s="93">
        <v>91</v>
      </c>
      <c r="AF12" s="105">
        <v>63.39</v>
      </c>
      <c r="AG12" s="93">
        <v>64.59</v>
      </c>
    </row>
    <row r="13" spans="1:33">
      <c r="A13" s="93">
        <v>90</v>
      </c>
      <c r="B13" s="93">
        <v>63.03</v>
      </c>
      <c r="C13" s="93">
        <v>63.03</v>
      </c>
      <c r="D13" s="93">
        <v>90</v>
      </c>
      <c r="E13" s="93">
        <v>63.02</v>
      </c>
      <c r="F13" s="93">
        <v>63.16</v>
      </c>
      <c r="G13" s="93">
        <v>90</v>
      </c>
      <c r="H13" s="93">
        <v>63.03</v>
      </c>
      <c r="I13" s="93">
        <v>63.03</v>
      </c>
      <c r="J13" s="93">
        <v>90</v>
      </c>
      <c r="K13" s="93">
        <v>64.010000000000005</v>
      </c>
      <c r="L13" s="93">
        <v>64.010000000000005</v>
      </c>
      <c r="M13" s="93">
        <v>90</v>
      </c>
      <c r="N13" s="93">
        <v>63.03</v>
      </c>
      <c r="O13" s="93">
        <v>63.03</v>
      </c>
      <c r="P13" s="93">
        <v>90</v>
      </c>
      <c r="Q13" s="93">
        <v>63.04</v>
      </c>
      <c r="R13" s="93">
        <v>63.04</v>
      </c>
      <c r="S13" s="93">
        <v>90</v>
      </c>
      <c r="T13" s="93">
        <v>63.02</v>
      </c>
      <c r="U13" s="93">
        <v>63.02</v>
      </c>
      <c r="V13" s="93">
        <v>90</v>
      </c>
      <c r="W13" s="93">
        <v>47.45</v>
      </c>
      <c r="X13" s="93">
        <v>47.45</v>
      </c>
      <c r="Y13" s="93">
        <v>90</v>
      </c>
      <c r="Z13" s="93">
        <v>63.03</v>
      </c>
      <c r="AA13" s="93">
        <v>63.03</v>
      </c>
      <c r="AB13" s="93">
        <v>90</v>
      </c>
      <c r="AC13" s="93">
        <v>63.02</v>
      </c>
      <c r="AD13" s="93">
        <v>63.02</v>
      </c>
      <c r="AE13" s="93">
        <v>90</v>
      </c>
      <c r="AF13" s="105">
        <v>63.03</v>
      </c>
      <c r="AG13" s="93">
        <v>63.16</v>
      </c>
    </row>
    <row r="14" spans="1:33">
      <c r="A14" s="93">
        <v>89</v>
      </c>
      <c r="B14" s="93">
        <v>62.74</v>
      </c>
      <c r="C14" s="93">
        <v>62.74</v>
      </c>
      <c r="D14" s="93">
        <v>89</v>
      </c>
      <c r="E14" s="93">
        <v>62.74</v>
      </c>
      <c r="F14" s="93">
        <v>62.52</v>
      </c>
      <c r="G14" s="93">
        <v>89</v>
      </c>
      <c r="H14" s="93">
        <v>62.74</v>
      </c>
      <c r="I14" s="93">
        <v>62.74</v>
      </c>
      <c r="J14" s="93">
        <v>89</v>
      </c>
      <c r="K14" s="93">
        <v>63.7</v>
      </c>
      <c r="L14" s="93">
        <v>63.7</v>
      </c>
      <c r="M14" s="93">
        <v>89</v>
      </c>
      <c r="N14" s="93">
        <v>62.74</v>
      </c>
      <c r="O14" s="93">
        <v>62.74</v>
      </c>
      <c r="P14" s="93">
        <v>89</v>
      </c>
      <c r="Q14" s="93">
        <v>62.75</v>
      </c>
      <c r="R14" s="93">
        <v>62.75</v>
      </c>
      <c r="S14" s="93">
        <v>89</v>
      </c>
      <c r="T14" s="93">
        <v>62.74</v>
      </c>
      <c r="U14" s="93">
        <v>62.74</v>
      </c>
      <c r="V14" s="93">
        <v>89</v>
      </c>
      <c r="W14" s="93">
        <v>47.24</v>
      </c>
      <c r="X14" s="93">
        <v>47.24</v>
      </c>
      <c r="Y14" s="93">
        <v>89</v>
      </c>
      <c r="Z14" s="93">
        <v>62.74</v>
      </c>
      <c r="AA14" s="93">
        <v>62.74</v>
      </c>
      <c r="AB14" s="93">
        <v>89</v>
      </c>
      <c r="AC14" s="93">
        <v>62.74</v>
      </c>
      <c r="AD14" s="93">
        <v>62.74</v>
      </c>
      <c r="AE14" s="93">
        <v>89</v>
      </c>
      <c r="AF14" s="105">
        <v>62.74</v>
      </c>
      <c r="AG14" s="93">
        <v>62.52</v>
      </c>
    </row>
    <row r="15" spans="1:33">
      <c r="A15" s="93">
        <v>88</v>
      </c>
      <c r="B15" s="93">
        <v>62.47</v>
      </c>
      <c r="C15" s="93">
        <v>62.47</v>
      </c>
      <c r="D15" s="93">
        <v>88</v>
      </c>
      <c r="E15" s="93">
        <v>62.47</v>
      </c>
      <c r="F15" s="93">
        <v>62.01</v>
      </c>
      <c r="G15" s="93">
        <v>88</v>
      </c>
      <c r="H15" s="93">
        <v>62.47</v>
      </c>
      <c r="I15" s="93">
        <v>62.47</v>
      </c>
      <c r="J15" s="93">
        <v>88</v>
      </c>
      <c r="K15" s="93">
        <v>63.37</v>
      </c>
      <c r="L15" s="93">
        <v>63.37</v>
      </c>
      <c r="M15" s="93">
        <v>88</v>
      </c>
      <c r="N15" s="93">
        <v>62.46</v>
      </c>
      <c r="O15" s="93">
        <v>62.46</v>
      </c>
      <c r="P15" s="93">
        <v>88</v>
      </c>
      <c r="Q15" s="93">
        <v>62.46</v>
      </c>
      <c r="R15" s="93">
        <v>62.46</v>
      </c>
      <c r="S15" s="93">
        <v>88</v>
      </c>
      <c r="T15" s="93">
        <v>62.47</v>
      </c>
      <c r="U15" s="93">
        <v>62.47</v>
      </c>
      <c r="V15" s="93">
        <v>88</v>
      </c>
      <c r="W15" s="93">
        <v>47.04</v>
      </c>
      <c r="X15" s="93">
        <v>47.04</v>
      </c>
      <c r="Y15" s="93">
        <v>88</v>
      </c>
      <c r="Z15" s="93">
        <v>62.47</v>
      </c>
      <c r="AA15" s="93">
        <v>62.47</v>
      </c>
      <c r="AB15" s="93">
        <v>88</v>
      </c>
      <c r="AC15" s="93">
        <v>62.47</v>
      </c>
      <c r="AD15" s="93">
        <v>62.47</v>
      </c>
      <c r="AE15" s="93">
        <v>88</v>
      </c>
      <c r="AF15" s="105">
        <v>62.47</v>
      </c>
      <c r="AG15" s="93">
        <v>62.01</v>
      </c>
    </row>
    <row r="16" spans="1:33">
      <c r="A16" s="93">
        <v>87</v>
      </c>
      <c r="B16" s="93">
        <v>62.19</v>
      </c>
      <c r="C16" s="93">
        <v>62.19</v>
      </c>
      <c r="D16" s="93">
        <v>87</v>
      </c>
      <c r="E16" s="93">
        <v>62.18</v>
      </c>
      <c r="F16" s="93">
        <v>61.44</v>
      </c>
      <c r="G16" s="93">
        <v>87</v>
      </c>
      <c r="H16" s="93">
        <v>62.19</v>
      </c>
      <c r="I16" s="93">
        <v>62.19</v>
      </c>
      <c r="J16" s="93">
        <v>87</v>
      </c>
      <c r="K16" s="93">
        <v>63.09</v>
      </c>
      <c r="L16" s="93">
        <v>63.09</v>
      </c>
      <c r="M16" s="93">
        <v>87</v>
      </c>
      <c r="N16" s="93">
        <v>62.17</v>
      </c>
      <c r="O16" s="93">
        <v>62.17</v>
      </c>
      <c r="P16" s="93">
        <v>87</v>
      </c>
      <c r="Q16" s="93">
        <v>62.18</v>
      </c>
      <c r="R16" s="93">
        <v>62.18</v>
      </c>
      <c r="S16" s="93">
        <v>87</v>
      </c>
      <c r="T16" s="93">
        <v>62.18</v>
      </c>
      <c r="U16" s="93">
        <v>62.18</v>
      </c>
      <c r="V16" s="93">
        <v>87</v>
      </c>
      <c r="W16" s="93">
        <v>46.82</v>
      </c>
      <c r="X16" s="93">
        <v>46.82</v>
      </c>
      <c r="Y16" s="93">
        <v>87</v>
      </c>
      <c r="Z16" s="93">
        <v>62.19</v>
      </c>
      <c r="AA16" s="93">
        <v>62.19</v>
      </c>
      <c r="AB16" s="93">
        <v>87</v>
      </c>
      <c r="AC16" s="93">
        <v>62.18</v>
      </c>
      <c r="AD16" s="93">
        <v>62.18</v>
      </c>
      <c r="AE16" s="93">
        <v>87</v>
      </c>
      <c r="AF16" s="105">
        <v>62.19</v>
      </c>
      <c r="AG16" s="93">
        <v>61.44</v>
      </c>
    </row>
    <row r="17" spans="1:33">
      <c r="A17" s="93">
        <v>86</v>
      </c>
      <c r="B17" s="93">
        <v>61.9</v>
      </c>
      <c r="C17" s="93">
        <v>61.9</v>
      </c>
      <c r="D17" s="93">
        <v>86</v>
      </c>
      <c r="E17" s="93">
        <v>61.89</v>
      </c>
      <c r="F17" s="93">
        <v>60.98</v>
      </c>
      <c r="G17" s="93">
        <v>86</v>
      </c>
      <c r="H17" s="93">
        <v>61.9</v>
      </c>
      <c r="I17" s="93">
        <v>61.9</v>
      </c>
      <c r="J17" s="93">
        <v>86</v>
      </c>
      <c r="K17" s="93">
        <v>62.8</v>
      </c>
      <c r="L17" s="93">
        <v>62.8</v>
      </c>
      <c r="M17" s="93">
        <v>86</v>
      </c>
      <c r="N17" s="93">
        <v>61.86</v>
      </c>
      <c r="O17" s="93">
        <v>61.86</v>
      </c>
      <c r="P17" s="93">
        <v>86</v>
      </c>
      <c r="Q17" s="93">
        <v>61.92</v>
      </c>
      <c r="R17" s="93">
        <v>61.92</v>
      </c>
      <c r="S17" s="93">
        <v>86</v>
      </c>
      <c r="T17" s="93">
        <v>61.89</v>
      </c>
      <c r="U17" s="93">
        <v>61.89</v>
      </c>
      <c r="V17" s="93">
        <v>86</v>
      </c>
      <c r="W17" s="93">
        <v>46.6</v>
      </c>
      <c r="X17" s="93">
        <v>46.6</v>
      </c>
      <c r="Y17" s="93">
        <v>86</v>
      </c>
      <c r="Z17" s="93">
        <v>61.9</v>
      </c>
      <c r="AA17" s="93">
        <v>61.9</v>
      </c>
      <c r="AB17" s="93">
        <v>86</v>
      </c>
      <c r="AC17" s="93">
        <v>61.89</v>
      </c>
      <c r="AD17" s="93">
        <v>61.89</v>
      </c>
      <c r="AE17" s="93">
        <v>86</v>
      </c>
      <c r="AF17" s="105">
        <v>61.9</v>
      </c>
      <c r="AG17" s="93">
        <v>60.98</v>
      </c>
    </row>
    <row r="18" spans="1:33">
      <c r="A18" s="93">
        <v>85</v>
      </c>
      <c r="B18" s="93">
        <v>61.65</v>
      </c>
      <c r="C18" s="93">
        <v>61.65</v>
      </c>
      <c r="D18" s="93">
        <v>85</v>
      </c>
      <c r="E18" s="93">
        <v>61.64</v>
      </c>
      <c r="F18" s="93">
        <v>60.47</v>
      </c>
      <c r="G18" s="93">
        <v>85</v>
      </c>
      <c r="H18" s="93">
        <v>61.65</v>
      </c>
      <c r="I18" s="93">
        <v>61.65</v>
      </c>
      <c r="J18" s="93">
        <v>85</v>
      </c>
      <c r="K18" s="93">
        <v>62.55</v>
      </c>
      <c r="L18" s="93">
        <v>62.55</v>
      </c>
      <c r="M18" s="93">
        <v>85</v>
      </c>
      <c r="N18" s="93">
        <v>61.58</v>
      </c>
      <c r="O18" s="93">
        <v>61.58</v>
      </c>
      <c r="P18" s="93">
        <v>85</v>
      </c>
      <c r="Q18" s="93">
        <v>61.65</v>
      </c>
      <c r="R18" s="93">
        <v>61.65</v>
      </c>
      <c r="S18" s="93">
        <v>85</v>
      </c>
      <c r="T18" s="93">
        <v>61.64</v>
      </c>
      <c r="U18" s="93">
        <v>61.64</v>
      </c>
      <c r="V18" s="93">
        <v>85</v>
      </c>
      <c r="W18" s="93">
        <v>46.42</v>
      </c>
      <c r="X18" s="93">
        <v>46.42</v>
      </c>
      <c r="Y18" s="93">
        <v>85</v>
      </c>
      <c r="Z18" s="93">
        <v>61.65</v>
      </c>
      <c r="AA18" s="93">
        <v>61.65</v>
      </c>
      <c r="AB18" s="93">
        <v>85</v>
      </c>
      <c r="AC18" s="93">
        <v>61.64</v>
      </c>
      <c r="AD18" s="93">
        <v>61.64</v>
      </c>
      <c r="AE18" s="93">
        <v>85</v>
      </c>
      <c r="AF18" s="105">
        <v>61.65</v>
      </c>
      <c r="AG18" s="93">
        <v>60.47</v>
      </c>
    </row>
    <row r="19" spans="1:33">
      <c r="A19" s="93">
        <v>84</v>
      </c>
      <c r="B19" s="93">
        <v>61.39</v>
      </c>
      <c r="C19" s="93">
        <v>61.39</v>
      </c>
      <c r="D19" s="93">
        <v>84</v>
      </c>
      <c r="E19" s="93">
        <v>61.38</v>
      </c>
      <c r="F19" s="93">
        <v>59.75</v>
      </c>
      <c r="G19" s="93">
        <v>84</v>
      </c>
      <c r="H19" s="93">
        <v>61.39</v>
      </c>
      <c r="I19" s="93">
        <v>61.39</v>
      </c>
      <c r="J19" s="93">
        <v>84</v>
      </c>
      <c r="K19" s="93">
        <v>62.28</v>
      </c>
      <c r="L19" s="93">
        <v>62.28</v>
      </c>
      <c r="M19" s="93">
        <v>84</v>
      </c>
      <c r="N19" s="93">
        <v>61.31</v>
      </c>
      <c r="O19" s="93">
        <v>61.31</v>
      </c>
      <c r="P19" s="93">
        <v>84</v>
      </c>
      <c r="Q19" s="93">
        <v>61.37</v>
      </c>
      <c r="R19" s="93">
        <v>61.37</v>
      </c>
      <c r="S19" s="93">
        <v>84</v>
      </c>
      <c r="T19" s="93">
        <v>61.38</v>
      </c>
      <c r="U19" s="93">
        <v>61.38</v>
      </c>
      <c r="V19" s="93">
        <v>84</v>
      </c>
      <c r="W19" s="93">
        <v>46.22</v>
      </c>
      <c r="X19" s="93">
        <v>46.22</v>
      </c>
      <c r="Y19" s="93">
        <v>84</v>
      </c>
      <c r="Z19" s="93">
        <v>61.39</v>
      </c>
      <c r="AA19" s="93">
        <v>61.39</v>
      </c>
      <c r="AB19" s="93">
        <v>84</v>
      </c>
      <c r="AC19" s="93">
        <v>61.38</v>
      </c>
      <c r="AD19" s="93">
        <v>61.38</v>
      </c>
      <c r="AE19" s="93">
        <v>84</v>
      </c>
      <c r="AF19" s="105">
        <v>61.39</v>
      </c>
      <c r="AG19" s="93">
        <v>59.76</v>
      </c>
    </row>
    <row r="20" spans="1:33">
      <c r="A20" s="93">
        <v>83</v>
      </c>
      <c r="B20" s="93">
        <v>61.11</v>
      </c>
      <c r="C20" s="93">
        <v>61.11</v>
      </c>
      <c r="D20" s="93">
        <v>83</v>
      </c>
      <c r="E20" s="93">
        <v>61.1</v>
      </c>
      <c r="F20" s="93">
        <v>59.05</v>
      </c>
      <c r="G20" s="93">
        <v>83</v>
      </c>
      <c r="H20" s="93">
        <v>61.11</v>
      </c>
      <c r="I20" s="93">
        <v>61.11</v>
      </c>
      <c r="J20" s="93">
        <v>83</v>
      </c>
      <c r="K20" s="93">
        <v>62.01</v>
      </c>
      <c r="L20" s="93">
        <v>62.01</v>
      </c>
      <c r="M20" s="93">
        <v>83</v>
      </c>
      <c r="N20" s="93">
        <v>61.04</v>
      </c>
      <c r="O20" s="93">
        <v>61.04</v>
      </c>
      <c r="P20" s="93">
        <v>83</v>
      </c>
      <c r="Q20" s="93">
        <v>61.1</v>
      </c>
      <c r="R20" s="93">
        <v>61.1</v>
      </c>
      <c r="S20" s="93">
        <v>83</v>
      </c>
      <c r="T20" s="93">
        <v>61.1</v>
      </c>
      <c r="U20" s="93">
        <v>61.1</v>
      </c>
      <c r="V20" s="93">
        <v>83</v>
      </c>
      <c r="W20" s="93">
        <v>46.01</v>
      </c>
      <c r="X20" s="93">
        <v>46.01</v>
      </c>
      <c r="Y20" s="93">
        <v>83</v>
      </c>
      <c r="Z20" s="93">
        <v>61.11</v>
      </c>
      <c r="AA20" s="93">
        <v>61.11</v>
      </c>
      <c r="AB20" s="93">
        <v>83</v>
      </c>
      <c r="AC20" s="93">
        <v>61.1</v>
      </c>
      <c r="AD20" s="93">
        <v>61.1</v>
      </c>
      <c r="AE20" s="93">
        <v>83</v>
      </c>
      <c r="AF20" s="105">
        <v>61.11</v>
      </c>
      <c r="AG20" s="93">
        <v>59.06</v>
      </c>
    </row>
    <row r="21" spans="1:33">
      <c r="A21" s="93">
        <v>82</v>
      </c>
      <c r="B21" s="93">
        <v>60.8</v>
      </c>
      <c r="C21" s="93">
        <v>60.8</v>
      </c>
      <c r="D21" s="93">
        <v>82</v>
      </c>
      <c r="E21" s="93">
        <v>60.79</v>
      </c>
      <c r="F21" s="93">
        <v>58.27</v>
      </c>
      <c r="G21" s="93">
        <v>82</v>
      </c>
      <c r="H21" s="93">
        <v>60.8</v>
      </c>
      <c r="I21" s="93">
        <v>60.8</v>
      </c>
      <c r="J21" s="93">
        <v>82</v>
      </c>
      <c r="K21" s="93">
        <v>61.69</v>
      </c>
      <c r="L21" s="93">
        <v>61.69</v>
      </c>
      <c r="M21" s="93">
        <v>82</v>
      </c>
      <c r="N21" s="93">
        <v>60.74</v>
      </c>
      <c r="O21" s="93">
        <v>60.74</v>
      </c>
      <c r="P21" s="93">
        <v>82</v>
      </c>
      <c r="Q21" s="93">
        <v>60.8</v>
      </c>
      <c r="R21" s="93">
        <v>60.8</v>
      </c>
      <c r="S21" s="93">
        <v>82</v>
      </c>
      <c r="T21" s="93">
        <v>60.79</v>
      </c>
      <c r="U21" s="93">
        <v>60.79</v>
      </c>
      <c r="V21" s="93">
        <v>82</v>
      </c>
      <c r="W21" s="93">
        <v>45.78</v>
      </c>
      <c r="X21" s="93">
        <v>45.78</v>
      </c>
      <c r="Y21" s="93">
        <v>82</v>
      </c>
      <c r="Z21" s="93">
        <v>60.8</v>
      </c>
      <c r="AA21" s="93">
        <v>60.8</v>
      </c>
      <c r="AB21" s="93">
        <v>82</v>
      </c>
      <c r="AC21" s="93">
        <v>60.79</v>
      </c>
      <c r="AD21" s="93">
        <v>60.79</v>
      </c>
      <c r="AE21" s="93">
        <v>82</v>
      </c>
      <c r="AF21" s="105">
        <v>60.8</v>
      </c>
      <c r="AG21" s="93">
        <v>58.28</v>
      </c>
    </row>
    <row r="22" spans="1:33">
      <c r="A22" s="93">
        <v>81</v>
      </c>
      <c r="B22" s="93">
        <v>60.47</v>
      </c>
      <c r="C22" s="93">
        <v>60.47</v>
      </c>
      <c r="D22" s="93">
        <v>81</v>
      </c>
      <c r="E22" s="93">
        <v>60.46</v>
      </c>
      <c r="F22" s="93">
        <v>57.87</v>
      </c>
      <c r="G22" s="93">
        <v>81</v>
      </c>
      <c r="H22" s="93">
        <v>60.47</v>
      </c>
      <c r="I22" s="93">
        <v>60.47</v>
      </c>
      <c r="J22" s="93">
        <v>81</v>
      </c>
      <c r="K22" s="93">
        <v>61.37</v>
      </c>
      <c r="L22" s="93">
        <v>61.37</v>
      </c>
      <c r="M22" s="93">
        <v>81</v>
      </c>
      <c r="N22" s="93">
        <v>60.43</v>
      </c>
      <c r="O22" s="93">
        <v>60.43</v>
      </c>
      <c r="P22" s="93">
        <v>81</v>
      </c>
      <c r="Q22" s="93">
        <v>60.47</v>
      </c>
      <c r="R22" s="93">
        <v>60.47</v>
      </c>
      <c r="S22" s="93">
        <v>81</v>
      </c>
      <c r="T22" s="93">
        <v>60.46</v>
      </c>
      <c r="U22" s="93">
        <v>60.46</v>
      </c>
      <c r="V22" s="93">
        <v>81</v>
      </c>
      <c r="W22" s="93">
        <v>45.53</v>
      </c>
      <c r="X22" s="93">
        <v>45.53</v>
      </c>
      <c r="Y22" s="93">
        <v>81</v>
      </c>
      <c r="Z22" s="93">
        <v>60.47</v>
      </c>
      <c r="AA22" s="93">
        <v>60.47</v>
      </c>
      <c r="AB22" s="93">
        <v>81</v>
      </c>
      <c r="AC22" s="93">
        <v>60.46</v>
      </c>
      <c r="AD22" s="93">
        <v>60.46</v>
      </c>
      <c r="AE22" s="93">
        <v>81</v>
      </c>
      <c r="AF22" s="105">
        <v>60.47</v>
      </c>
      <c r="AG22" s="93">
        <v>57.88</v>
      </c>
    </row>
    <row r="23" spans="1:33">
      <c r="A23" s="93">
        <v>80</v>
      </c>
      <c r="B23" s="93">
        <v>60.16</v>
      </c>
      <c r="C23" s="93">
        <v>60.16</v>
      </c>
      <c r="D23" s="93">
        <v>80</v>
      </c>
      <c r="E23" s="93">
        <v>60.15</v>
      </c>
      <c r="F23" s="93">
        <v>57.57</v>
      </c>
      <c r="G23" s="93">
        <v>80</v>
      </c>
      <c r="H23" s="93">
        <v>60.16</v>
      </c>
      <c r="I23" s="93">
        <v>60.16</v>
      </c>
      <c r="J23" s="93">
        <v>80</v>
      </c>
      <c r="K23" s="93">
        <v>61.06</v>
      </c>
      <c r="L23" s="93">
        <v>61.06</v>
      </c>
      <c r="M23" s="93">
        <v>80</v>
      </c>
      <c r="N23" s="93">
        <v>60.14</v>
      </c>
      <c r="O23" s="93">
        <v>60.14</v>
      </c>
      <c r="P23" s="93">
        <v>80</v>
      </c>
      <c r="Q23" s="93">
        <v>60.17</v>
      </c>
      <c r="R23" s="93">
        <v>60.17</v>
      </c>
      <c r="S23" s="93">
        <v>80</v>
      </c>
      <c r="T23" s="93">
        <v>60.15</v>
      </c>
      <c r="U23" s="93">
        <v>60.15</v>
      </c>
      <c r="V23" s="93">
        <v>80</v>
      </c>
      <c r="W23" s="93">
        <v>45.29</v>
      </c>
      <c r="X23" s="93">
        <v>45.29</v>
      </c>
      <c r="Y23" s="93">
        <v>80</v>
      </c>
      <c r="Z23" s="93">
        <v>60.16</v>
      </c>
      <c r="AA23" s="93">
        <v>60.16</v>
      </c>
      <c r="AB23" s="93">
        <v>80</v>
      </c>
      <c r="AC23" s="93">
        <v>60.15</v>
      </c>
      <c r="AD23" s="93">
        <v>60.15</v>
      </c>
      <c r="AE23" s="93">
        <v>80</v>
      </c>
      <c r="AF23" s="105">
        <v>60.16</v>
      </c>
      <c r="AG23" s="93">
        <v>57.58</v>
      </c>
    </row>
    <row r="24" spans="1:33">
      <c r="A24" s="93">
        <v>79</v>
      </c>
      <c r="B24" s="93">
        <v>59.91</v>
      </c>
      <c r="C24" s="93">
        <v>59.91</v>
      </c>
      <c r="D24" s="93">
        <v>79</v>
      </c>
      <c r="E24" s="93">
        <v>59.9</v>
      </c>
      <c r="F24" s="93">
        <v>57.27</v>
      </c>
      <c r="G24" s="93">
        <v>79</v>
      </c>
      <c r="H24" s="93">
        <v>59.91</v>
      </c>
      <c r="I24" s="93">
        <v>59.91</v>
      </c>
      <c r="J24" s="93">
        <v>79</v>
      </c>
      <c r="K24" s="93">
        <v>60.8</v>
      </c>
      <c r="L24" s="93">
        <v>60.8</v>
      </c>
      <c r="M24" s="93">
        <v>79</v>
      </c>
      <c r="N24" s="93">
        <v>59.9</v>
      </c>
      <c r="O24" s="93">
        <v>59.9</v>
      </c>
      <c r="P24" s="93">
        <v>79</v>
      </c>
      <c r="Q24" s="93">
        <v>59.9</v>
      </c>
      <c r="R24" s="93">
        <v>59.9</v>
      </c>
      <c r="S24" s="93">
        <v>79</v>
      </c>
      <c r="T24" s="93">
        <v>59.9</v>
      </c>
      <c r="U24" s="93">
        <v>59.9</v>
      </c>
      <c r="V24" s="93">
        <v>79</v>
      </c>
      <c r="W24" s="93">
        <v>45.11</v>
      </c>
      <c r="X24" s="93">
        <v>45.11</v>
      </c>
      <c r="Y24" s="93">
        <v>79</v>
      </c>
      <c r="Z24" s="93">
        <v>59.91</v>
      </c>
      <c r="AA24" s="93">
        <v>59.91</v>
      </c>
      <c r="AB24" s="93">
        <v>79</v>
      </c>
      <c r="AC24" s="93">
        <v>59.9</v>
      </c>
      <c r="AD24" s="93">
        <v>59.9</v>
      </c>
      <c r="AE24" s="93">
        <v>79</v>
      </c>
      <c r="AF24" s="105">
        <v>59.91</v>
      </c>
      <c r="AG24" s="93">
        <v>57.28</v>
      </c>
    </row>
    <row r="25" spans="1:33">
      <c r="A25" s="93">
        <v>78</v>
      </c>
      <c r="B25" s="93">
        <v>59.65</v>
      </c>
      <c r="C25" s="93">
        <v>59.65</v>
      </c>
      <c r="D25" s="93">
        <v>78</v>
      </c>
      <c r="E25" s="93">
        <v>59.64</v>
      </c>
      <c r="F25" s="93">
        <v>56.92</v>
      </c>
      <c r="G25" s="93">
        <v>78</v>
      </c>
      <c r="H25" s="93">
        <v>59.65</v>
      </c>
      <c r="I25" s="93">
        <v>59.65</v>
      </c>
      <c r="J25" s="93">
        <v>78</v>
      </c>
      <c r="K25" s="93">
        <v>60.55</v>
      </c>
      <c r="L25" s="93">
        <v>60.55</v>
      </c>
      <c r="M25" s="93">
        <v>78</v>
      </c>
      <c r="N25" s="93">
        <v>59.64</v>
      </c>
      <c r="O25" s="93">
        <v>59.64</v>
      </c>
      <c r="P25" s="93">
        <v>78</v>
      </c>
      <c r="Q25" s="93">
        <v>59.64</v>
      </c>
      <c r="R25" s="93">
        <v>59.64</v>
      </c>
      <c r="S25" s="93">
        <v>78</v>
      </c>
      <c r="T25" s="93">
        <v>59.64</v>
      </c>
      <c r="U25" s="93">
        <v>59.64</v>
      </c>
      <c r="V25" s="93">
        <v>78</v>
      </c>
      <c r="W25" s="93">
        <v>44.91</v>
      </c>
      <c r="X25" s="93">
        <v>44.91</v>
      </c>
      <c r="Y25" s="93">
        <v>78</v>
      </c>
      <c r="Z25" s="93">
        <v>59.65</v>
      </c>
      <c r="AA25" s="93">
        <v>59.65</v>
      </c>
      <c r="AB25" s="93">
        <v>78</v>
      </c>
      <c r="AC25" s="93">
        <v>59.64</v>
      </c>
      <c r="AD25" s="93">
        <v>59.64</v>
      </c>
      <c r="AE25" s="93">
        <v>78</v>
      </c>
      <c r="AF25" s="105">
        <v>59.65</v>
      </c>
      <c r="AG25" s="93">
        <v>56.93</v>
      </c>
    </row>
    <row r="26" spans="1:33">
      <c r="A26" s="93">
        <v>77</v>
      </c>
      <c r="B26" s="93">
        <v>59.34</v>
      </c>
      <c r="C26" s="93">
        <v>59.34</v>
      </c>
      <c r="D26" s="93">
        <v>77</v>
      </c>
      <c r="E26" s="93">
        <v>59.34</v>
      </c>
      <c r="F26" s="93">
        <v>56.65</v>
      </c>
      <c r="G26" s="93">
        <v>77</v>
      </c>
      <c r="H26" s="93">
        <v>59.34</v>
      </c>
      <c r="I26" s="93">
        <v>59.34</v>
      </c>
      <c r="J26" s="93">
        <v>77</v>
      </c>
      <c r="K26" s="93">
        <v>60.24</v>
      </c>
      <c r="L26" s="93">
        <v>60.24</v>
      </c>
      <c r="M26" s="93">
        <v>77</v>
      </c>
      <c r="N26" s="93">
        <v>59.33</v>
      </c>
      <c r="O26" s="93">
        <v>59.33</v>
      </c>
      <c r="P26" s="93">
        <v>77</v>
      </c>
      <c r="Q26" s="93">
        <v>59.34</v>
      </c>
      <c r="R26" s="93">
        <v>59.34</v>
      </c>
      <c r="S26" s="93">
        <v>77</v>
      </c>
      <c r="T26" s="93">
        <v>59.34</v>
      </c>
      <c r="U26" s="93">
        <v>59.34</v>
      </c>
      <c r="V26" s="93">
        <v>77</v>
      </c>
      <c r="W26" s="93">
        <v>44.68</v>
      </c>
      <c r="X26" s="93">
        <v>44.68</v>
      </c>
      <c r="Y26" s="93">
        <v>77</v>
      </c>
      <c r="Z26" s="93">
        <v>59.34</v>
      </c>
      <c r="AA26" s="93">
        <v>59.34</v>
      </c>
      <c r="AB26" s="93">
        <v>77</v>
      </c>
      <c r="AC26" s="93">
        <v>59.34</v>
      </c>
      <c r="AD26" s="93">
        <v>59.34</v>
      </c>
      <c r="AE26" s="93">
        <v>77</v>
      </c>
      <c r="AF26" s="105">
        <v>59.34</v>
      </c>
      <c r="AG26" s="93">
        <v>56.66</v>
      </c>
    </row>
    <row r="27" spans="1:33">
      <c r="A27" s="93">
        <v>76</v>
      </c>
      <c r="B27" s="93">
        <v>59.03</v>
      </c>
      <c r="C27" s="93">
        <v>59.03</v>
      </c>
      <c r="D27" s="93">
        <v>76</v>
      </c>
      <c r="E27" s="93">
        <v>59.03</v>
      </c>
      <c r="F27" s="93">
        <v>56.41</v>
      </c>
      <c r="G27" s="93">
        <v>76</v>
      </c>
      <c r="H27" s="93">
        <v>59.03</v>
      </c>
      <c r="I27" s="93">
        <v>59.03</v>
      </c>
      <c r="J27" s="93">
        <v>76</v>
      </c>
      <c r="K27" s="93">
        <v>59.93</v>
      </c>
      <c r="L27" s="93">
        <v>59.93</v>
      </c>
      <c r="M27" s="93">
        <v>76</v>
      </c>
      <c r="N27" s="93">
        <v>59.02</v>
      </c>
      <c r="O27" s="93">
        <v>59.02</v>
      </c>
      <c r="P27" s="93">
        <v>76</v>
      </c>
      <c r="Q27" s="93">
        <v>59.03</v>
      </c>
      <c r="R27" s="93">
        <v>59.03</v>
      </c>
      <c r="S27" s="93">
        <v>76</v>
      </c>
      <c r="T27" s="93">
        <v>59.03</v>
      </c>
      <c r="U27" s="93">
        <v>59.03</v>
      </c>
      <c r="V27" s="93">
        <v>76</v>
      </c>
      <c r="W27" s="93">
        <v>44.45</v>
      </c>
      <c r="X27" s="93">
        <v>44.45</v>
      </c>
      <c r="Y27" s="93">
        <v>76</v>
      </c>
      <c r="Z27" s="93">
        <v>59.03</v>
      </c>
      <c r="AA27" s="93">
        <v>59.03</v>
      </c>
      <c r="AB27" s="93">
        <v>76</v>
      </c>
      <c r="AC27" s="93">
        <v>59.03</v>
      </c>
      <c r="AD27" s="93">
        <v>59.03</v>
      </c>
      <c r="AE27" s="93">
        <v>76</v>
      </c>
      <c r="AF27" s="105">
        <v>59.03</v>
      </c>
      <c r="AG27" s="93">
        <v>56.42</v>
      </c>
    </row>
    <row r="28" spans="1:33">
      <c r="A28" s="93">
        <v>75</v>
      </c>
      <c r="B28" s="93">
        <v>58.76</v>
      </c>
      <c r="C28" s="93">
        <v>58.76</v>
      </c>
      <c r="D28" s="93">
        <v>75</v>
      </c>
      <c r="E28" s="93">
        <v>58.75</v>
      </c>
      <c r="F28" s="93">
        <v>56.12</v>
      </c>
      <c r="G28" s="93">
        <v>75</v>
      </c>
      <c r="H28" s="93">
        <v>58.76</v>
      </c>
      <c r="I28" s="93">
        <v>58.76</v>
      </c>
      <c r="J28" s="93">
        <v>75</v>
      </c>
      <c r="K28" s="93">
        <v>59.65</v>
      </c>
      <c r="L28" s="93">
        <v>59.65</v>
      </c>
      <c r="M28" s="93">
        <v>75</v>
      </c>
      <c r="N28" s="93">
        <v>58.74</v>
      </c>
      <c r="O28" s="93">
        <v>58.74</v>
      </c>
      <c r="P28" s="93">
        <v>75</v>
      </c>
      <c r="Q28" s="93">
        <v>58.76</v>
      </c>
      <c r="R28" s="93">
        <v>58.76</v>
      </c>
      <c r="S28" s="93">
        <v>75</v>
      </c>
      <c r="T28" s="93">
        <v>58.75</v>
      </c>
      <c r="U28" s="93">
        <v>58.75</v>
      </c>
      <c r="V28" s="93">
        <v>75</v>
      </c>
      <c r="W28" s="93">
        <v>44.24</v>
      </c>
      <c r="X28" s="93">
        <v>44.24</v>
      </c>
      <c r="Y28" s="93">
        <v>75</v>
      </c>
      <c r="Z28" s="93">
        <v>58.76</v>
      </c>
      <c r="AA28" s="93">
        <v>58.76</v>
      </c>
      <c r="AB28" s="93">
        <v>75</v>
      </c>
      <c r="AC28" s="93">
        <v>58.75</v>
      </c>
      <c r="AD28" s="93">
        <v>58.75</v>
      </c>
      <c r="AE28" s="93">
        <v>75</v>
      </c>
      <c r="AF28" s="105">
        <v>58.76</v>
      </c>
      <c r="AG28" s="93">
        <v>56.13</v>
      </c>
    </row>
    <row r="29" spans="1:33">
      <c r="A29" s="93">
        <v>74</v>
      </c>
      <c r="B29" s="93">
        <v>58.48</v>
      </c>
      <c r="C29" s="93">
        <v>58.48</v>
      </c>
      <c r="D29" s="93">
        <v>74</v>
      </c>
      <c r="E29" s="93">
        <v>58.48</v>
      </c>
      <c r="F29" s="93">
        <v>55.88</v>
      </c>
      <c r="G29" s="93">
        <v>74</v>
      </c>
      <c r="H29" s="93">
        <v>58.48</v>
      </c>
      <c r="I29" s="93">
        <v>58.48</v>
      </c>
      <c r="J29" s="93">
        <v>74</v>
      </c>
      <c r="K29" s="93">
        <v>59.38</v>
      </c>
      <c r="L29" s="93">
        <v>59.38</v>
      </c>
      <c r="M29" s="93">
        <v>74</v>
      </c>
      <c r="N29" s="93">
        <v>58.45</v>
      </c>
      <c r="O29" s="93">
        <v>58.45</v>
      </c>
      <c r="P29" s="93">
        <v>74</v>
      </c>
      <c r="Q29" s="93">
        <v>58.49</v>
      </c>
      <c r="R29" s="93">
        <v>58.49</v>
      </c>
      <c r="S29" s="93">
        <v>74</v>
      </c>
      <c r="T29" s="93">
        <v>58.48</v>
      </c>
      <c r="U29" s="93">
        <v>58.48</v>
      </c>
      <c r="V29" s="93">
        <v>74</v>
      </c>
      <c r="W29" s="93">
        <v>44.04</v>
      </c>
      <c r="X29" s="93">
        <v>44.04</v>
      </c>
      <c r="Y29" s="93">
        <v>74</v>
      </c>
      <c r="Z29" s="93">
        <v>58.48</v>
      </c>
      <c r="AA29" s="93">
        <v>58.48</v>
      </c>
      <c r="AB29" s="93">
        <v>74</v>
      </c>
      <c r="AC29" s="93">
        <v>58.48</v>
      </c>
      <c r="AD29" s="93">
        <v>58.48</v>
      </c>
      <c r="AE29" s="93">
        <v>74</v>
      </c>
      <c r="AF29" s="105">
        <v>58.48</v>
      </c>
      <c r="AG29" s="93">
        <v>55.89</v>
      </c>
    </row>
    <row r="30" spans="1:33">
      <c r="A30" s="93">
        <v>73</v>
      </c>
      <c r="B30" s="93">
        <v>58.2</v>
      </c>
      <c r="C30" s="93">
        <v>58.2</v>
      </c>
      <c r="D30" s="93">
        <v>73</v>
      </c>
      <c r="E30" s="93">
        <v>58.19</v>
      </c>
      <c r="F30" s="93">
        <v>55.63</v>
      </c>
      <c r="G30" s="93">
        <v>73</v>
      </c>
      <c r="H30" s="93">
        <v>58.2</v>
      </c>
      <c r="I30" s="93">
        <v>58.2</v>
      </c>
      <c r="J30" s="93">
        <v>73</v>
      </c>
      <c r="K30" s="93">
        <v>59.1</v>
      </c>
      <c r="L30" s="93">
        <v>59.1</v>
      </c>
      <c r="M30" s="93">
        <v>73</v>
      </c>
      <c r="N30" s="93">
        <v>58.17</v>
      </c>
      <c r="O30" s="93">
        <v>58.17</v>
      </c>
      <c r="P30" s="93">
        <v>73</v>
      </c>
      <c r="Q30" s="93">
        <v>58.2</v>
      </c>
      <c r="R30" s="93">
        <v>58.2</v>
      </c>
      <c r="S30" s="93">
        <v>73</v>
      </c>
      <c r="T30" s="93">
        <v>58.19</v>
      </c>
      <c r="U30" s="93">
        <v>58.19</v>
      </c>
      <c r="V30" s="93">
        <v>73</v>
      </c>
      <c r="W30" s="93">
        <v>43.82</v>
      </c>
      <c r="X30" s="93">
        <v>43.82</v>
      </c>
      <c r="Y30" s="93">
        <v>73</v>
      </c>
      <c r="Z30" s="93">
        <v>58.2</v>
      </c>
      <c r="AA30" s="93">
        <v>58.2</v>
      </c>
      <c r="AB30" s="93">
        <v>73</v>
      </c>
      <c r="AC30" s="93">
        <v>58.19</v>
      </c>
      <c r="AD30" s="93">
        <v>58.19</v>
      </c>
      <c r="AE30" s="93">
        <v>73</v>
      </c>
      <c r="AF30" s="105">
        <v>58.2</v>
      </c>
      <c r="AG30" s="93">
        <v>55.63</v>
      </c>
    </row>
    <row r="31" spans="1:33">
      <c r="A31" s="93">
        <v>72</v>
      </c>
      <c r="B31" s="93">
        <v>57.93</v>
      </c>
      <c r="C31" s="93">
        <v>57.93</v>
      </c>
      <c r="D31" s="93">
        <v>72</v>
      </c>
      <c r="E31" s="93">
        <v>57.93</v>
      </c>
      <c r="F31" s="93">
        <v>55.37</v>
      </c>
      <c r="G31" s="93">
        <v>72</v>
      </c>
      <c r="H31" s="93">
        <v>57.93</v>
      </c>
      <c r="I31" s="93">
        <v>57.93</v>
      </c>
      <c r="J31" s="93">
        <v>72</v>
      </c>
      <c r="K31" s="93">
        <v>58.83</v>
      </c>
      <c r="L31" s="93">
        <v>58.83</v>
      </c>
      <c r="M31" s="93">
        <v>72</v>
      </c>
      <c r="N31" s="93">
        <v>57.91</v>
      </c>
      <c r="O31" s="93">
        <v>57.91</v>
      </c>
      <c r="P31" s="93">
        <v>72</v>
      </c>
      <c r="Q31" s="93">
        <v>57.92</v>
      </c>
      <c r="R31" s="93">
        <v>57.92</v>
      </c>
      <c r="S31" s="93">
        <v>72</v>
      </c>
      <c r="T31" s="93">
        <v>57.93</v>
      </c>
      <c r="U31" s="93">
        <v>57.93</v>
      </c>
      <c r="V31" s="93">
        <v>72</v>
      </c>
      <c r="W31" s="93">
        <v>43.62</v>
      </c>
      <c r="X31" s="93">
        <v>43.62</v>
      </c>
      <c r="Y31" s="93">
        <v>72</v>
      </c>
      <c r="Z31" s="93">
        <v>57.93</v>
      </c>
      <c r="AA31" s="93">
        <v>57.93</v>
      </c>
      <c r="AB31" s="93">
        <v>72</v>
      </c>
      <c r="AC31" s="93">
        <v>57.93</v>
      </c>
      <c r="AD31" s="93">
        <v>57.93</v>
      </c>
      <c r="AE31" s="93">
        <v>72</v>
      </c>
      <c r="AF31" s="105">
        <v>57.93</v>
      </c>
      <c r="AG31" s="93">
        <v>55.37</v>
      </c>
    </row>
    <row r="32" spans="1:33">
      <c r="A32" s="93">
        <v>71</v>
      </c>
      <c r="B32" s="93">
        <v>57.67</v>
      </c>
      <c r="C32" s="93">
        <v>57.67</v>
      </c>
      <c r="D32" s="93">
        <v>71</v>
      </c>
      <c r="E32" s="93">
        <v>57.66</v>
      </c>
      <c r="F32" s="93">
        <v>55.12</v>
      </c>
      <c r="G32" s="93">
        <v>71</v>
      </c>
      <c r="H32" s="93">
        <v>57.67</v>
      </c>
      <c r="I32" s="93">
        <v>57.67</v>
      </c>
      <c r="J32" s="93">
        <v>71</v>
      </c>
      <c r="K32" s="93">
        <v>58.57</v>
      </c>
      <c r="L32" s="93">
        <v>58.57</v>
      </c>
      <c r="M32" s="93">
        <v>71</v>
      </c>
      <c r="N32" s="93">
        <v>57.64</v>
      </c>
      <c r="O32" s="93">
        <v>57.64</v>
      </c>
      <c r="P32" s="93">
        <v>71</v>
      </c>
      <c r="Q32" s="93">
        <v>57.67</v>
      </c>
      <c r="R32" s="93">
        <v>57.67</v>
      </c>
      <c r="S32" s="93">
        <v>71</v>
      </c>
      <c r="T32" s="93">
        <v>57.66</v>
      </c>
      <c r="U32" s="93">
        <v>57.66</v>
      </c>
      <c r="V32" s="93">
        <v>71</v>
      </c>
      <c r="W32" s="93">
        <v>43.42</v>
      </c>
      <c r="X32" s="93">
        <v>43.42</v>
      </c>
      <c r="Y32" s="93">
        <v>71</v>
      </c>
      <c r="Z32" s="93">
        <v>57.67</v>
      </c>
      <c r="AA32" s="93">
        <v>57.67</v>
      </c>
      <c r="AB32" s="93">
        <v>71</v>
      </c>
      <c r="AC32" s="93">
        <v>57.66</v>
      </c>
      <c r="AD32" s="93">
        <v>57.66</v>
      </c>
      <c r="AE32" s="93">
        <v>71</v>
      </c>
      <c r="AF32" s="105">
        <v>57.67</v>
      </c>
      <c r="AG32" s="93">
        <v>55.12</v>
      </c>
    </row>
    <row r="33" spans="1:33">
      <c r="A33" s="93">
        <v>70</v>
      </c>
      <c r="B33" s="93">
        <v>57.38</v>
      </c>
      <c r="C33" s="93">
        <v>57.38</v>
      </c>
      <c r="D33" s="93">
        <v>70</v>
      </c>
      <c r="E33" s="93">
        <v>57.38</v>
      </c>
      <c r="F33" s="93">
        <v>54.82</v>
      </c>
      <c r="G33" s="93">
        <v>70</v>
      </c>
      <c r="H33" s="93">
        <v>57.38</v>
      </c>
      <c r="I33" s="93">
        <v>57.38</v>
      </c>
      <c r="J33" s="93">
        <v>70</v>
      </c>
      <c r="K33" s="93">
        <v>58.28</v>
      </c>
      <c r="L33" s="93">
        <v>58.28</v>
      </c>
      <c r="M33" s="93">
        <v>70</v>
      </c>
      <c r="N33" s="93">
        <v>57.36</v>
      </c>
      <c r="O33" s="93">
        <v>57.36</v>
      </c>
      <c r="P33" s="93">
        <v>70</v>
      </c>
      <c r="Q33" s="93">
        <v>57.38</v>
      </c>
      <c r="R33" s="93">
        <v>57.38</v>
      </c>
      <c r="S33" s="93">
        <v>70</v>
      </c>
      <c r="T33" s="93">
        <v>57.38</v>
      </c>
      <c r="U33" s="93">
        <v>57.38</v>
      </c>
      <c r="V33" s="93">
        <v>70</v>
      </c>
      <c r="W33" s="93">
        <v>43.21</v>
      </c>
      <c r="X33" s="93">
        <v>43.21</v>
      </c>
      <c r="Y33" s="93">
        <v>70</v>
      </c>
      <c r="Z33" s="93">
        <v>57.38</v>
      </c>
      <c r="AA33" s="93">
        <v>57.38</v>
      </c>
      <c r="AB33" s="93">
        <v>70</v>
      </c>
      <c r="AC33" s="93">
        <v>57.38</v>
      </c>
      <c r="AD33" s="93">
        <v>57.38</v>
      </c>
      <c r="AE33" s="93">
        <v>70</v>
      </c>
      <c r="AF33" s="105">
        <v>57.38</v>
      </c>
      <c r="AG33" s="93">
        <v>54.82</v>
      </c>
    </row>
    <row r="34" spans="1:33">
      <c r="A34" s="93">
        <v>69</v>
      </c>
      <c r="B34" s="93">
        <v>57.08</v>
      </c>
      <c r="C34" s="93">
        <v>57.08</v>
      </c>
      <c r="D34" s="93">
        <v>69</v>
      </c>
      <c r="E34" s="93">
        <v>57.07</v>
      </c>
      <c r="F34" s="93">
        <v>54.57</v>
      </c>
      <c r="G34" s="93">
        <v>69</v>
      </c>
      <c r="H34" s="93">
        <v>57.08</v>
      </c>
      <c r="I34" s="93">
        <v>57.08</v>
      </c>
      <c r="J34" s="93">
        <v>69</v>
      </c>
      <c r="K34" s="93">
        <v>57.98</v>
      </c>
      <c r="L34" s="93">
        <v>57.98</v>
      </c>
      <c r="M34" s="93">
        <v>69</v>
      </c>
      <c r="N34" s="93">
        <v>57.06</v>
      </c>
      <c r="O34" s="93">
        <v>57.06</v>
      </c>
      <c r="P34" s="93">
        <v>69</v>
      </c>
      <c r="Q34" s="93">
        <v>57.07</v>
      </c>
      <c r="R34" s="93">
        <v>57.07</v>
      </c>
      <c r="S34" s="93">
        <v>69</v>
      </c>
      <c r="T34" s="93">
        <v>57.07</v>
      </c>
      <c r="U34" s="93">
        <v>57.07</v>
      </c>
      <c r="V34" s="93">
        <v>69</v>
      </c>
      <c r="W34" s="93">
        <v>42.97</v>
      </c>
      <c r="X34" s="93">
        <v>42.97</v>
      </c>
      <c r="Y34" s="93">
        <v>69</v>
      </c>
      <c r="Z34" s="93">
        <v>57.08</v>
      </c>
      <c r="AA34" s="93">
        <v>57.08</v>
      </c>
      <c r="AB34" s="93">
        <v>69</v>
      </c>
      <c r="AC34" s="93">
        <v>57.07</v>
      </c>
      <c r="AD34" s="93">
        <v>57.07</v>
      </c>
      <c r="AE34" s="93">
        <v>69</v>
      </c>
      <c r="AF34" s="105">
        <v>57.08</v>
      </c>
      <c r="AG34" s="93">
        <v>54.58</v>
      </c>
    </row>
    <row r="35" spans="1:33">
      <c r="A35" s="93">
        <v>68</v>
      </c>
      <c r="B35" s="93">
        <v>56.73</v>
      </c>
      <c r="C35" s="93">
        <v>56.73</v>
      </c>
      <c r="D35" s="93">
        <v>68</v>
      </c>
      <c r="E35" s="93">
        <v>56.73</v>
      </c>
      <c r="F35" s="93">
        <v>54.31</v>
      </c>
      <c r="G35" s="93">
        <v>68</v>
      </c>
      <c r="H35" s="93">
        <v>56.73</v>
      </c>
      <c r="I35" s="93">
        <v>56.73</v>
      </c>
      <c r="J35" s="93">
        <v>68</v>
      </c>
      <c r="K35" s="93">
        <v>57.63</v>
      </c>
      <c r="L35" s="93">
        <v>57.63</v>
      </c>
      <c r="M35" s="93">
        <v>68</v>
      </c>
      <c r="N35" s="93">
        <v>56.73</v>
      </c>
      <c r="O35" s="93">
        <v>56.73</v>
      </c>
      <c r="P35" s="93">
        <v>68</v>
      </c>
      <c r="Q35" s="93">
        <v>56.73</v>
      </c>
      <c r="R35" s="93">
        <v>56.73</v>
      </c>
      <c r="S35" s="93">
        <v>68</v>
      </c>
      <c r="T35" s="93">
        <v>56.73</v>
      </c>
      <c r="U35" s="93">
        <v>56.73</v>
      </c>
      <c r="V35" s="93">
        <v>68</v>
      </c>
      <c r="W35" s="93">
        <v>42.72</v>
      </c>
      <c r="X35" s="93">
        <v>42.72</v>
      </c>
      <c r="Y35" s="93">
        <v>68</v>
      </c>
      <c r="Z35" s="93">
        <v>56.73</v>
      </c>
      <c r="AA35" s="93">
        <v>56.73</v>
      </c>
      <c r="AB35" s="93">
        <v>68</v>
      </c>
      <c r="AC35" s="93">
        <v>56.73</v>
      </c>
      <c r="AD35" s="93">
        <v>56.73</v>
      </c>
      <c r="AE35" s="93">
        <v>68</v>
      </c>
      <c r="AF35" s="105">
        <v>56.73</v>
      </c>
      <c r="AG35" s="93">
        <v>54.31</v>
      </c>
    </row>
    <row r="36" spans="1:33">
      <c r="A36" s="93">
        <v>67</v>
      </c>
      <c r="B36" s="93">
        <v>56.37</v>
      </c>
      <c r="C36" s="93">
        <v>56.37</v>
      </c>
      <c r="D36" s="93">
        <v>67</v>
      </c>
      <c r="E36" s="93">
        <v>56.36</v>
      </c>
      <c r="F36" s="93">
        <v>54.06</v>
      </c>
      <c r="G36" s="93">
        <v>67</v>
      </c>
      <c r="H36" s="93">
        <v>56.37</v>
      </c>
      <c r="I36" s="93">
        <v>56.37</v>
      </c>
      <c r="J36" s="93">
        <v>67</v>
      </c>
      <c r="K36" s="93">
        <v>57.27</v>
      </c>
      <c r="L36" s="93">
        <v>57.27</v>
      </c>
      <c r="M36" s="93">
        <v>67</v>
      </c>
      <c r="N36" s="93">
        <v>56.36</v>
      </c>
      <c r="O36" s="93">
        <v>56.36</v>
      </c>
      <c r="P36" s="93">
        <v>67</v>
      </c>
      <c r="Q36" s="93">
        <v>56.38</v>
      </c>
      <c r="R36" s="93">
        <v>56.38</v>
      </c>
      <c r="S36" s="93">
        <v>67</v>
      </c>
      <c r="T36" s="93">
        <v>56.36</v>
      </c>
      <c r="U36" s="93">
        <v>56.36</v>
      </c>
      <c r="V36" s="93">
        <v>67</v>
      </c>
      <c r="W36" s="93">
        <v>42.44</v>
      </c>
      <c r="X36" s="93">
        <v>42.44</v>
      </c>
      <c r="Y36" s="93">
        <v>67</v>
      </c>
      <c r="Z36" s="93">
        <v>56.37</v>
      </c>
      <c r="AA36" s="93">
        <v>56.37</v>
      </c>
      <c r="AB36" s="93">
        <v>67</v>
      </c>
      <c r="AC36" s="93">
        <v>56.36</v>
      </c>
      <c r="AD36" s="93">
        <v>56.36</v>
      </c>
      <c r="AE36" s="93">
        <v>67</v>
      </c>
      <c r="AF36" s="105">
        <v>56.37</v>
      </c>
      <c r="AG36" s="93">
        <v>54.07</v>
      </c>
    </row>
    <row r="37" spans="1:33">
      <c r="A37" s="93">
        <v>66</v>
      </c>
      <c r="B37" s="93">
        <v>56.04</v>
      </c>
      <c r="C37" s="93">
        <v>56.04</v>
      </c>
      <c r="D37" s="93">
        <v>66</v>
      </c>
      <c r="E37" s="93">
        <v>56.03</v>
      </c>
      <c r="F37" s="93">
        <v>53.81</v>
      </c>
      <c r="G37" s="93">
        <v>66</v>
      </c>
      <c r="H37" s="93">
        <v>56.04</v>
      </c>
      <c r="I37" s="93">
        <v>56.04</v>
      </c>
      <c r="J37" s="93">
        <v>66</v>
      </c>
      <c r="K37" s="93">
        <v>56.94</v>
      </c>
      <c r="L37" s="93">
        <v>56.94</v>
      </c>
      <c r="M37" s="93">
        <v>66</v>
      </c>
      <c r="N37" s="93">
        <v>56.02</v>
      </c>
      <c r="O37" s="93">
        <v>56.02</v>
      </c>
      <c r="P37" s="93">
        <v>66</v>
      </c>
      <c r="Q37" s="93">
        <v>56.04</v>
      </c>
      <c r="R37" s="93">
        <v>56.04</v>
      </c>
      <c r="S37" s="93">
        <v>66</v>
      </c>
      <c r="T37" s="93">
        <v>56.03</v>
      </c>
      <c r="U37" s="93">
        <v>56.03</v>
      </c>
      <c r="V37" s="93">
        <v>66</v>
      </c>
      <c r="W37" s="93">
        <v>42.19</v>
      </c>
      <c r="X37" s="93">
        <v>42.19</v>
      </c>
      <c r="Y37" s="93">
        <v>66</v>
      </c>
      <c r="Z37" s="93">
        <v>56.04</v>
      </c>
      <c r="AA37" s="93">
        <v>56.04</v>
      </c>
      <c r="AB37" s="93">
        <v>66</v>
      </c>
      <c r="AC37" s="93">
        <v>56.03</v>
      </c>
      <c r="AD37" s="93">
        <v>56.03</v>
      </c>
      <c r="AE37" s="93">
        <v>66</v>
      </c>
      <c r="AF37" s="105">
        <v>56.04</v>
      </c>
      <c r="AG37" s="93">
        <v>53.81</v>
      </c>
    </row>
    <row r="38" spans="1:33">
      <c r="A38" s="93">
        <v>65</v>
      </c>
      <c r="B38" s="93">
        <v>55.71</v>
      </c>
      <c r="C38" s="93">
        <v>55.71</v>
      </c>
      <c r="D38" s="93">
        <v>65</v>
      </c>
      <c r="E38" s="93">
        <v>55.71</v>
      </c>
      <c r="F38" s="93">
        <v>53.56</v>
      </c>
      <c r="G38" s="93">
        <v>65</v>
      </c>
      <c r="H38" s="93">
        <v>55.71</v>
      </c>
      <c r="I38" s="93">
        <v>55.71</v>
      </c>
      <c r="J38" s="93">
        <v>65</v>
      </c>
      <c r="K38" s="93">
        <v>56.61</v>
      </c>
      <c r="L38" s="93">
        <v>56.61</v>
      </c>
      <c r="M38" s="93">
        <v>65</v>
      </c>
      <c r="N38" s="93">
        <v>55.68</v>
      </c>
      <c r="O38" s="93">
        <v>55.68</v>
      </c>
      <c r="P38" s="93">
        <v>65</v>
      </c>
      <c r="Q38" s="93">
        <v>55.7</v>
      </c>
      <c r="R38" s="93">
        <v>55.7</v>
      </c>
      <c r="S38" s="93">
        <v>65</v>
      </c>
      <c r="T38" s="93">
        <v>55.71</v>
      </c>
      <c r="U38" s="93">
        <v>55.71</v>
      </c>
      <c r="V38" s="93">
        <v>65</v>
      </c>
      <c r="W38" s="93">
        <v>41.95</v>
      </c>
      <c r="X38" s="93">
        <v>41.95</v>
      </c>
      <c r="Y38" s="93">
        <v>65</v>
      </c>
      <c r="Z38" s="93">
        <v>55.71</v>
      </c>
      <c r="AA38" s="93">
        <v>55.71</v>
      </c>
      <c r="AB38" s="93">
        <v>65</v>
      </c>
      <c r="AC38" s="93">
        <v>55.71</v>
      </c>
      <c r="AD38" s="93">
        <v>55.71</v>
      </c>
      <c r="AE38" s="93">
        <v>65</v>
      </c>
      <c r="AF38" s="105">
        <v>55.71</v>
      </c>
      <c r="AG38" s="93">
        <v>53.56</v>
      </c>
    </row>
    <row r="39" spans="1:33">
      <c r="A39" s="93">
        <v>64</v>
      </c>
      <c r="B39" s="93">
        <v>55.4</v>
      </c>
      <c r="C39" s="93">
        <v>55.4</v>
      </c>
      <c r="D39" s="93">
        <v>64</v>
      </c>
      <c r="E39" s="93">
        <v>55.4</v>
      </c>
      <c r="F39" s="93">
        <v>53.31</v>
      </c>
      <c r="G39" s="93">
        <v>64</v>
      </c>
      <c r="H39" s="93">
        <v>55.4</v>
      </c>
      <c r="I39" s="93">
        <v>55.4</v>
      </c>
      <c r="J39" s="93">
        <v>64</v>
      </c>
      <c r="K39" s="93">
        <v>56.3</v>
      </c>
      <c r="L39" s="93">
        <v>56.3</v>
      </c>
      <c r="M39" s="93">
        <v>64</v>
      </c>
      <c r="N39" s="93">
        <v>55.36</v>
      </c>
      <c r="O39" s="93">
        <v>55.36</v>
      </c>
      <c r="P39" s="93">
        <v>64</v>
      </c>
      <c r="Q39" s="93">
        <v>55.4</v>
      </c>
      <c r="R39" s="93">
        <v>55.4</v>
      </c>
      <c r="S39" s="93">
        <v>64</v>
      </c>
      <c r="T39" s="93">
        <v>55.4</v>
      </c>
      <c r="U39" s="93">
        <v>55.4</v>
      </c>
      <c r="V39" s="93">
        <v>64</v>
      </c>
      <c r="W39" s="93">
        <v>41.72</v>
      </c>
      <c r="X39" s="93">
        <v>41.72</v>
      </c>
      <c r="Y39" s="93">
        <v>64</v>
      </c>
      <c r="Z39" s="93">
        <v>55.4</v>
      </c>
      <c r="AA39" s="93">
        <v>55.4</v>
      </c>
      <c r="AB39" s="93">
        <v>64</v>
      </c>
      <c r="AC39" s="93">
        <v>55.4</v>
      </c>
      <c r="AD39" s="93">
        <v>55.4</v>
      </c>
      <c r="AE39" s="93">
        <v>64</v>
      </c>
      <c r="AF39" s="105">
        <v>55.4</v>
      </c>
      <c r="AG39" s="93">
        <v>53.32</v>
      </c>
    </row>
    <row r="40" spans="1:33">
      <c r="A40" s="93">
        <v>63</v>
      </c>
      <c r="B40" s="93">
        <v>55.09</v>
      </c>
      <c r="C40" s="93">
        <v>55.09</v>
      </c>
      <c r="D40" s="93">
        <v>63</v>
      </c>
      <c r="E40" s="93">
        <v>55.08</v>
      </c>
      <c r="F40" s="93">
        <v>53.05</v>
      </c>
      <c r="G40" s="93">
        <v>63</v>
      </c>
      <c r="H40" s="93">
        <v>55.09</v>
      </c>
      <c r="I40" s="93">
        <v>55.09</v>
      </c>
      <c r="J40" s="93">
        <v>63</v>
      </c>
      <c r="K40" s="93">
        <v>55.99</v>
      </c>
      <c r="L40" s="93">
        <v>55.99</v>
      </c>
      <c r="M40" s="93">
        <v>63</v>
      </c>
      <c r="N40" s="93">
        <v>55.04</v>
      </c>
      <c r="O40" s="93">
        <v>55.04</v>
      </c>
      <c r="P40" s="93">
        <v>63</v>
      </c>
      <c r="Q40" s="93">
        <v>55.1</v>
      </c>
      <c r="R40" s="93">
        <v>55.1</v>
      </c>
      <c r="S40" s="93">
        <v>63</v>
      </c>
      <c r="T40" s="93">
        <v>55.08</v>
      </c>
      <c r="U40" s="93">
        <v>55.08</v>
      </c>
      <c r="V40" s="93">
        <v>63</v>
      </c>
      <c r="W40" s="93">
        <v>41.48</v>
      </c>
      <c r="X40" s="93">
        <v>41.48</v>
      </c>
      <c r="Y40" s="93">
        <v>63</v>
      </c>
      <c r="Z40" s="93">
        <v>55.09</v>
      </c>
      <c r="AA40" s="93">
        <v>55.09</v>
      </c>
      <c r="AB40" s="93">
        <v>63</v>
      </c>
      <c r="AC40" s="93">
        <v>55.08</v>
      </c>
      <c r="AD40" s="93">
        <v>55.08</v>
      </c>
      <c r="AE40" s="93">
        <v>63</v>
      </c>
      <c r="AF40" s="105">
        <v>55.09</v>
      </c>
      <c r="AG40" s="93">
        <v>53.05</v>
      </c>
    </row>
    <row r="41" spans="1:33">
      <c r="A41" s="93">
        <v>62</v>
      </c>
      <c r="B41" s="93">
        <v>54.79</v>
      </c>
      <c r="C41" s="93">
        <v>54.79</v>
      </c>
      <c r="D41" s="93">
        <v>62</v>
      </c>
      <c r="E41" s="93">
        <v>54.79</v>
      </c>
      <c r="F41" s="93">
        <v>52.77</v>
      </c>
      <c r="G41" s="93">
        <v>62</v>
      </c>
      <c r="H41" s="93">
        <v>54.79</v>
      </c>
      <c r="I41" s="93">
        <v>54.79</v>
      </c>
      <c r="J41" s="93">
        <v>62</v>
      </c>
      <c r="K41" s="93">
        <v>55.69</v>
      </c>
      <c r="L41" s="93">
        <v>55.69</v>
      </c>
      <c r="M41" s="93">
        <v>62</v>
      </c>
      <c r="N41" s="93">
        <v>54.73</v>
      </c>
      <c r="O41" s="93">
        <v>54.73</v>
      </c>
      <c r="P41" s="93">
        <v>62</v>
      </c>
      <c r="Q41" s="93">
        <v>54.79</v>
      </c>
      <c r="R41" s="93">
        <v>54.79</v>
      </c>
      <c r="S41" s="93">
        <v>62</v>
      </c>
      <c r="T41" s="93">
        <v>54.79</v>
      </c>
      <c r="U41" s="93">
        <v>54.79</v>
      </c>
      <c r="V41" s="93">
        <v>62</v>
      </c>
      <c r="W41" s="93">
        <v>41.26</v>
      </c>
      <c r="X41" s="93">
        <v>41.26</v>
      </c>
      <c r="Y41" s="93">
        <v>62</v>
      </c>
      <c r="Z41" s="93">
        <v>54.79</v>
      </c>
      <c r="AA41" s="93">
        <v>54.79</v>
      </c>
      <c r="AB41" s="93">
        <v>62</v>
      </c>
      <c r="AC41" s="93">
        <v>54.79</v>
      </c>
      <c r="AD41" s="93">
        <v>54.79</v>
      </c>
      <c r="AE41" s="93">
        <v>62</v>
      </c>
      <c r="AF41" s="105">
        <v>54.79</v>
      </c>
      <c r="AG41" s="93">
        <v>52.78</v>
      </c>
    </row>
    <row r="42" spans="1:33">
      <c r="A42" s="93">
        <v>61</v>
      </c>
      <c r="B42" s="93">
        <v>54.51</v>
      </c>
      <c r="C42" s="93">
        <v>54.51</v>
      </c>
      <c r="D42" s="93">
        <v>61</v>
      </c>
      <c r="E42" s="93">
        <v>54.51</v>
      </c>
      <c r="F42" s="93">
        <v>52.47</v>
      </c>
      <c r="G42" s="93">
        <v>61</v>
      </c>
      <c r="H42" s="93">
        <v>54.51</v>
      </c>
      <c r="I42" s="93">
        <v>54.51</v>
      </c>
      <c r="J42" s="93">
        <v>61</v>
      </c>
      <c r="K42" s="93">
        <v>55.41</v>
      </c>
      <c r="L42" s="93">
        <v>55.41</v>
      </c>
      <c r="M42" s="93">
        <v>61</v>
      </c>
      <c r="N42" s="93">
        <v>54.43</v>
      </c>
      <c r="O42" s="93">
        <v>54.43</v>
      </c>
      <c r="P42" s="93">
        <v>61</v>
      </c>
      <c r="Q42" s="93">
        <v>54.51</v>
      </c>
      <c r="R42" s="93">
        <v>54.51</v>
      </c>
      <c r="S42" s="93">
        <v>61</v>
      </c>
      <c r="T42" s="93">
        <v>54.51</v>
      </c>
      <c r="U42" s="93">
        <v>54.51</v>
      </c>
      <c r="V42" s="93">
        <v>61</v>
      </c>
      <c r="W42" s="93">
        <v>41.05</v>
      </c>
      <c r="X42" s="93">
        <v>41.05</v>
      </c>
      <c r="Y42" s="93">
        <v>61</v>
      </c>
      <c r="Z42" s="93">
        <v>54.51</v>
      </c>
      <c r="AA42" s="93">
        <v>54.51</v>
      </c>
      <c r="AB42" s="93">
        <v>61</v>
      </c>
      <c r="AC42" s="93">
        <v>54.51</v>
      </c>
      <c r="AD42" s="93">
        <v>54.51</v>
      </c>
      <c r="AE42" s="93">
        <v>61</v>
      </c>
      <c r="AF42" s="105">
        <v>54.51</v>
      </c>
      <c r="AG42" s="93">
        <v>52.48</v>
      </c>
    </row>
    <row r="43" spans="1:33">
      <c r="A43" s="93">
        <v>60</v>
      </c>
      <c r="B43" s="93">
        <v>54.21</v>
      </c>
      <c r="C43" s="93">
        <v>54.21</v>
      </c>
      <c r="D43" s="93">
        <v>60</v>
      </c>
      <c r="E43" s="93">
        <v>54.2</v>
      </c>
      <c r="F43" s="93">
        <v>52.17</v>
      </c>
      <c r="G43" s="93">
        <v>60</v>
      </c>
      <c r="H43" s="93">
        <v>54.21</v>
      </c>
      <c r="I43" s="93">
        <v>54.21</v>
      </c>
      <c r="J43" s="93">
        <v>60</v>
      </c>
      <c r="K43" s="93">
        <v>55.11</v>
      </c>
      <c r="L43" s="93">
        <v>55.11</v>
      </c>
      <c r="M43" s="93">
        <v>60</v>
      </c>
      <c r="N43" s="93">
        <v>54.11</v>
      </c>
      <c r="O43" s="93">
        <v>54.11</v>
      </c>
      <c r="P43" s="93">
        <v>60</v>
      </c>
      <c r="Q43" s="93">
        <v>54.21</v>
      </c>
      <c r="R43" s="93">
        <v>54.21</v>
      </c>
      <c r="S43" s="93">
        <v>60</v>
      </c>
      <c r="T43" s="93">
        <v>54.2</v>
      </c>
      <c r="U43" s="93">
        <v>54.2</v>
      </c>
      <c r="V43" s="93">
        <v>60</v>
      </c>
      <c r="W43" s="93">
        <v>40.81</v>
      </c>
      <c r="X43" s="93">
        <v>40.81</v>
      </c>
      <c r="Y43" s="93">
        <v>60</v>
      </c>
      <c r="Z43" s="93">
        <v>54.21</v>
      </c>
      <c r="AA43" s="93">
        <v>54.21</v>
      </c>
      <c r="AB43" s="93">
        <v>60</v>
      </c>
      <c r="AC43" s="93">
        <v>54.2</v>
      </c>
      <c r="AD43" s="93">
        <v>54.2</v>
      </c>
      <c r="AE43" s="93">
        <v>60</v>
      </c>
      <c r="AF43" s="105">
        <v>54.21</v>
      </c>
      <c r="AG43" s="93">
        <v>52.18</v>
      </c>
    </row>
    <row r="44" spans="1:33">
      <c r="A44" s="93">
        <v>59</v>
      </c>
      <c r="B44" s="93">
        <v>53.86</v>
      </c>
      <c r="C44" s="93">
        <v>53.86</v>
      </c>
      <c r="D44" s="93">
        <v>59</v>
      </c>
      <c r="E44" s="93">
        <v>53.86</v>
      </c>
      <c r="F44" s="93">
        <v>51.89</v>
      </c>
      <c r="G44" s="93">
        <v>59</v>
      </c>
      <c r="H44" s="93">
        <v>53.86</v>
      </c>
      <c r="I44" s="93">
        <v>53.86</v>
      </c>
      <c r="J44" s="93">
        <v>59</v>
      </c>
      <c r="K44" s="93">
        <v>54.76</v>
      </c>
      <c r="L44" s="93">
        <v>54.76</v>
      </c>
      <c r="M44" s="93">
        <v>59</v>
      </c>
      <c r="N44" s="93">
        <v>53.77</v>
      </c>
      <c r="O44" s="93">
        <v>53.77</v>
      </c>
      <c r="P44" s="93">
        <v>59</v>
      </c>
      <c r="Q44" s="93">
        <v>53.85</v>
      </c>
      <c r="R44" s="93">
        <v>53.85</v>
      </c>
      <c r="S44" s="93">
        <v>59</v>
      </c>
      <c r="T44" s="93">
        <v>53.86</v>
      </c>
      <c r="U44" s="93">
        <v>53.86</v>
      </c>
      <c r="V44" s="93">
        <v>59</v>
      </c>
      <c r="W44" s="93">
        <v>40.56</v>
      </c>
      <c r="X44" s="93">
        <v>40.56</v>
      </c>
      <c r="Y44" s="93">
        <v>59</v>
      </c>
      <c r="Z44" s="93">
        <v>53.86</v>
      </c>
      <c r="AA44" s="93">
        <v>53.86</v>
      </c>
      <c r="AB44" s="93">
        <v>59</v>
      </c>
      <c r="AC44" s="93">
        <v>53.86</v>
      </c>
      <c r="AD44" s="93">
        <v>53.86</v>
      </c>
      <c r="AE44" s="93">
        <v>59</v>
      </c>
      <c r="AF44" s="105">
        <v>53.86</v>
      </c>
      <c r="AG44" s="93">
        <v>51.89</v>
      </c>
    </row>
    <row r="45" spans="1:33">
      <c r="A45" s="93">
        <v>58</v>
      </c>
      <c r="B45" s="93">
        <v>53.54</v>
      </c>
      <c r="C45" s="93">
        <v>53.54</v>
      </c>
      <c r="D45" s="93">
        <v>58</v>
      </c>
      <c r="E45" s="93">
        <v>53.53</v>
      </c>
      <c r="F45" s="93">
        <v>51.61</v>
      </c>
      <c r="G45" s="93">
        <v>58</v>
      </c>
      <c r="H45" s="93">
        <v>53.54</v>
      </c>
      <c r="I45" s="93">
        <v>53.54</v>
      </c>
      <c r="J45" s="93">
        <v>58</v>
      </c>
      <c r="K45" s="93">
        <v>54.43</v>
      </c>
      <c r="L45" s="93">
        <v>54.43</v>
      </c>
      <c r="M45" s="93">
        <v>58</v>
      </c>
      <c r="N45" s="93">
        <v>53.46</v>
      </c>
      <c r="O45" s="93">
        <v>53.46</v>
      </c>
      <c r="P45" s="93">
        <v>58</v>
      </c>
      <c r="Q45" s="93">
        <v>53.54</v>
      </c>
      <c r="R45" s="93">
        <v>53.54</v>
      </c>
      <c r="S45" s="93">
        <v>58</v>
      </c>
      <c r="T45" s="93">
        <v>53.53</v>
      </c>
      <c r="U45" s="93">
        <v>53.53</v>
      </c>
      <c r="V45" s="93">
        <v>58</v>
      </c>
      <c r="W45" s="93">
        <v>40.31</v>
      </c>
      <c r="X45" s="93">
        <v>40.31</v>
      </c>
      <c r="Y45" s="93">
        <v>58</v>
      </c>
      <c r="Z45" s="93">
        <v>53.54</v>
      </c>
      <c r="AA45" s="93">
        <v>53.54</v>
      </c>
      <c r="AB45" s="93">
        <v>58</v>
      </c>
      <c r="AC45" s="93">
        <v>53.53</v>
      </c>
      <c r="AD45" s="93">
        <v>53.53</v>
      </c>
      <c r="AE45" s="93">
        <v>58</v>
      </c>
      <c r="AF45" s="105">
        <v>53.54</v>
      </c>
      <c r="AG45" s="93">
        <v>51.61</v>
      </c>
    </row>
    <row r="46" spans="1:33">
      <c r="A46" s="93">
        <v>57</v>
      </c>
      <c r="B46" s="93">
        <v>53.2</v>
      </c>
      <c r="C46" s="93">
        <v>53.2</v>
      </c>
      <c r="D46" s="93">
        <v>57</v>
      </c>
      <c r="E46" s="93">
        <v>53.19</v>
      </c>
      <c r="F46" s="93">
        <v>51.31</v>
      </c>
      <c r="G46" s="93">
        <v>57</v>
      </c>
      <c r="H46" s="93">
        <v>53.2</v>
      </c>
      <c r="I46" s="93">
        <v>53.2</v>
      </c>
      <c r="J46" s="93">
        <v>57</v>
      </c>
      <c r="K46" s="93">
        <v>54.1</v>
      </c>
      <c r="L46" s="93">
        <v>54.1</v>
      </c>
      <c r="M46" s="93">
        <v>57</v>
      </c>
      <c r="N46" s="93">
        <v>53.13</v>
      </c>
      <c r="O46" s="93">
        <v>53.13</v>
      </c>
      <c r="P46" s="93">
        <v>57</v>
      </c>
      <c r="Q46" s="93">
        <v>53.21</v>
      </c>
      <c r="R46" s="93">
        <v>53.21</v>
      </c>
      <c r="S46" s="93">
        <v>57</v>
      </c>
      <c r="T46" s="93">
        <v>53.19</v>
      </c>
      <c r="U46" s="93">
        <v>53.19</v>
      </c>
      <c r="V46" s="93">
        <v>57</v>
      </c>
      <c r="W46" s="93">
        <v>40.049999999999997</v>
      </c>
      <c r="X46" s="93">
        <v>40.049999999999997</v>
      </c>
      <c r="Y46" s="93">
        <v>57</v>
      </c>
      <c r="Z46" s="93">
        <v>53.2</v>
      </c>
      <c r="AA46" s="93">
        <v>53.2</v>
      </c>
      <c r="AB46" s="93">
        <v>57</v>
      </c>
      <c r="AC46" s="93">
        <v>53.19</v>
      </c>
      <c r="AD46" s="93">
        <v>53.19</v>
      </c>
      <c r="AE46" s="93">
        <v>57</v>
      </c>
      <c r="AF46" s="105">
        <v>53.2</v>
      </c>
      <c r="AG46" s="93">
        <v>51.32</v>
      </c>
    </row>
    <row r="47" spans="1:33">
      <c r="A47" s="93">
        <v>56</v>
      </c>
      <c r="B47" s="93">
        <v>52.84</v>
      </c>
      <c r="C47" s="93">
        <v>52.84</v>
      </c>
      <c r="D47" s="93">
        <v>56</v>
      </c>
      <c r="E47" s="93">
        <v>52.84</v>
      </c>
      <c r="F47" s="93">
        <v>50.99</v>
      </c>
      <c r="G47" s="93">
        <v>56</v>
      </c>
      <c r="H47" s="93">
        <v>52.85</v>
      </c>
      <c r="I47" s="93">
        <v>52.85</v>
      </c>
      <c r="J47" s="93">
        <v>56</v>
      </c>
      <c r="K47" s="93">
        <v>53.74</v>
      </c>
      <c r="L47" s="93">
        <v>53.74</v>
      </c>
      <c r="M47" s="93">
        <v>56</v>
      </c>
      <c r="N47" s="93">
        <v>52.8</v>
      </c>
      <c r="O47" s="93">
        <v>52.8</v>
      </c>
      <c r="P47" s="93">
        <v>56</v>
      </c>
      <c r="Q47" s="93">
        <v>52.83</v>
      </c>
      <c r="R47" s="93">
        <v>52.83</v>
      </c>
      <c r="S47" s="93">
        <v>56</v>
      </c>
      <c r="T47" s="93">
        <v>52.84</v>
      </c>
      <c r="U47" s="93">
        <v>52.84</v>
      </c>
      <c r="V47" s="93">
        <v>56</v>
      </c>
      <c r="W47" s="93">
        <v>39.79</v>
      </c>
      <c r="X47" s="93">
        <v>39.79</v>
      </c>
      <c r="Y47" s="93">
        <v>56</v>
      </c>
      <c r="Z47" s="93">
        <v>52.84</v>
      </c>
      <c r="AA47" s="93">
        <v>52.84</v>
      </c>
      <c r="AB47" s="93">
        <v>56</v>
      </c>
      <c r="AC47" s="93">
        <v>52.84</v>
      </c>
      <c r="AD47" s="93">
        <v>52.84</v>
      </c>
      <c r="AE47" s="93">
        <v>56</v>
      </c>
      <c r="AF47" s="105">
        <v>52.84</v>
      </c>
      <c r="AG47" s="93">
        <v>51</v>
      </c>
    </row>
    <row r="48" spans="1:33">
      <c r="A48" s="93">
        <v>55</v>
      </c>
      <c r="B48" s="93">
        <v>52.51</v>
      </c>
      <c r="C48" s="93">
        <v>52.51</v>
      </c>
      <c r="D48" s="93">
        <v>55</v>
      </c>
      <c r="E48" s="93">
        <v>52.5</v>
      </c>
      <c r="F48" s="93">
        <v>50.67</v>
      </c>
      <c r="G48" s="93">
        <v>55</v>
      </c>
      <c r="H48" s="93">
        <v>52.51</v>
      </c>
      <c r="I48" s="93">
        <v>52.51</v>
      </c>
      <c r="J48" s="93">
        <v>55</v>
      </c>
      <c r="K48" s="93">
        <v>53.41</v>
      </c>
      <c r="L48" s="93">
        <v>53.41</v>
      </c>
      <c r="M48" s="93">
        <v>55</v>
      </c>
      <c r="N48" s="93">
        <v>52.48</v>
      </c>
      <c r="O48" s="93">
        <v>52.48</v>
      </c>
      <c r="P48" s="93">
        <v>55</v>
      </c>
      <c r="Q48" s="93">
        <v>52.51</v>
      </c>
      <c r="R48" s="93">
        <v>52.51</v>
      </c>
      <c r="S48" s="93">
        <v>55</v>
      </c>
      <c r="T48" s="93">
        <v>52.5</v>
      </c>
      <c r="U48" s="93">
        <v>52.5</v>
      </c>
      <c r="V48" s="93">
        <v>55</v>
      </c>
      <c r="W48" s="93">
        <v>39.53</v>
      </c>
      <c r="X48" s="93">
        <v>39.53</v>
      </c>
      <c r="Y48" s="93">
        <v>55</v>
      </c>
      <c r="Z48" s="93">
        <v>52.51</v>
      </c>
      <c r="AA48" s="93">
        <v>52.51</v>
      </c>
      <c r="AB48" s="93">
        <v>55</v>
      </c>
      <c r="AC48" s="93">
        <v>52.5</v>
      </c>
      <c r="AD48" s="93">
        <v>52.5</v>
      </c>
      <c r="AE48" s="93">
        <v>55</v>
      </c>
      <c r="AF48" s="105">
        <v>52.51</v>
      </c>
      <c r="AG48" s="93">
        <v>50.67</v>
      </c>
    </row>
    <row r="49" spans="1:33">
      <c r="A49" s="93">
        <v>54</v>
      </c>
      <c r="B49" s="93">
        <v>52.12</v>
      </c>
      <c r="C49" s="93">
        <v>52.12</v>
      </c>
      <c r="D49" s="93">
        <v>54</v>
      </c>
      <c r="E49" s="93">
        <v>52.11</v>
      </c>
      <c r="F49" s="93">
        <v>50.37</v>
      </c>
      <c r="G49" s="93">
        <v>54</v>
      </c>
      <c r="H49" s="93">
        <v>52.12</v>
      </c>
      <c r="I49" s="93">
        <v>52.12</v>
      </c>
      <c r="J49" s="93">
        <v>54</v>
      </c>
      <c r="K49" s="93">
        <v>53.01</v>
      </c>
      <c r="L49" s="93">
        <v>53.01</v>
      </c>
      <c r="M49" s="93">
        <v>54</v>
      </c>
      <c r="N49" s="93">
        <v>52.08</v>
      </c>
      <c r="O49" s="93">
        <v>52.08</v>
      </c>
      <c r="P49" s="93">
        <v>54</v>
      </c>
      <c r="Q49" s="93">
        <v>52.12</v>
      </c>
      <c r="R49" s="93">
        <v>52.12</v>
      </c>
      <c r="S49" s="93">
        <v>54</v>
      </c>
      <c r="T49" s="93">
        <v>52.11</v>
      </c>
      <c r="U49" s="93">
        <v>52.11</v>
      </c>
      <c r="V49" s="93">
        <v>54</v>
      </c>
      <c r="W49" s="93">
        <v>39.24</v>
      </c>
      <c r="X49" s="93">
        <v>39.24</v>
      </c>
      <c r="Y49" s="93">
        <v>54</v>
      </c>
      <c r="Z49" s="93">
        <v>52.12</v>
      </c>
      <c r="AA49" s="93">
        <v>52.12</v>
      </c>
      <c r="AB49" s="93">
        <v>54</v>
      </c>
      <c r="AC49" s="93">
        <v>52.11</v>
      </c>
      <c r="AD49" s="93">
        <v>52.11</v>
      </c>
      <c r="AE49" s="93">
        <v>54</v>
      </c>
      <c r="AF49" s="105">
        <v>52.12</v>
      </c>
      <c r="AG49" s="93">
        <v>50.38</v>
      </c>
    </row>
    <row r="50" spans="1:33">
      <c r="A50" s="93">
        <v>53</v>
      </c>
      <c r="B50" s="93">
        <v>51.73</v>
      </c>
      <c r="C50" s="93">
        <v>51.73</v>
      </c>
      <c r="D50" s="93">
        <v>53</v>
      </c>
      <c r="E50" s="93">
        <v>51.73</v>
      </c>
      <c r="F50" s="93">
        <v>50.1</v>
      </c>
      <c r="G50" s="93">
        <v>53</v>
      </c>
      <c r="H50" s="93">
        <v>51.73</v>
      </c>
      <c r="I50" s="93">
        <v>51.73</v>
      </c>
      <c r="J50" s="93">
        <v>53</v>
      </c>
      <c r="K50" s="93">
        <v>52.63</v>
      </c>
      <c r="L50" s="93">
        <v>52.63</v>
      </c>
      <c r="M50" s="93">
        <v>53</v>
      </c>
      <c r="N50" s="93">
        <v>51.7</v>
      </c>
      <c r="O50" s="93">
        <v>51.7</v>
      </c>
      <c r="P50" s="93">
        <v>53</v>
      </c>
      <c r="Q50" s="93">
        <v>51.73</v>
      </c>
      <c r="R50" s="93">
        <v>51.73</v>
      </c>
      <c r="S50" s="93">
        <v>53</v>
      </c>
      <c r="T50" s="93">
        <v>51.73</v>
      </c>
      <c r="U50" s="93">
        <v>51.73</v>
      </c>
      <c r="V50" s="93">
        <v>53</v>
      </c>
      <c r="W50" s="93">
        <v>38.950000000000003</v>
      </c>
      <c r="X50" s="93">
        <v>38.950000000000003</v>
      </c>
      <c r="Y50" s="93">
        <v>53</v>
      </c>
      <c r="Z50" s="93">
        <v>51.73</v>
      </c>
      <c r="AA50" s="93">
        <v>51.73</v>
      </c>
      <c r="AB50" s="93">
        <v>53</v>
      </c>
      <c r="AC50" s="93">
        <v>51.73</v>
      </c>
      <c r="AD50" s="93">
        <v>51.73</v>
      </c>
      <c r="AE50" s="93">
        <v>53</v>
      </c>
      <c r="AF50" s="105">
        <v>51.73</v>
      </c>
      <c r="AG50" s="93">
        <v>50.1</v>
      </c>
    </row>
    <row r="51" spans="1:33">
      <c r="A51" s="93">
        <v>52</v>
      </c>
      <c r="B51" s="93">
        <v>51.35</v>
      </c>
      <c r="C51" s="93">
        <v>51.35</v>
      </c>
      <c r="D51" s="93">
        <v>52</v>
      </c>
      <c r="E51" s="93">
        <v>51.35</v>
      </c>
      <c r="F51" s="93">
        <v>49.82</v>
      </c>
      <c r="G51" s="93">
        <v>52</v>
      </c>
      <c r="H51" s="93">
        <v>51.35</v>
      </c>
      <c r="I51" s="93">
        <v>51.35</v>
      </c>
      <c r="J51" s="93">
        <v>52</v>
      </c>
      <c r="K51" s="93">
        <v>52.25</v>
      </c>
      <c r="L51" s="93">
        <v>52.25</v>
      </c>
      <c r="M51" s="93">
        <v>52</v>
      </c>
      <c r="N51" s="93">
        <v>51.33</v>
      </c>
      <c r="O51" s="93">
        <v>51.33</v>
      </c>
      <c r="P51" s="93">
        <v>52</v>
      </c>
      <c r="Q51" s="93">
        <v>51.35</v>
      </c>
      <c r="R51" s="93">
        <v>51.35</v>
      </c>
      <c r="S51" s="93">
        <v>52</v>
      </c>
      <c r="T51" s="93">
        <v>51.35</v>
      </c>
      <c r="U51" s="93">
        <v>51.35</v>
      </c>
      <c r="V51" s="93">
        <v>52</v>
      </c>
      <c r="W51" s="93">
        <v>38.67</v>
      </c>
      <c r="X51" s="93">
        <v>38.67</v>
      </c>
      <c r="Y51" s="93">
        <v>52</v>
      </c>
      <c r="Z51" s="93">
        <v>51.35</v>
      </c>
      <c r="AA51" s="93">
        <v>51.35</v>
      </c>
      <c r="AB51" s="93">
        <v>52</v>
      </c>
      <c r="AC51" s="93">
        <v>51.35</v>
      </c>
      <c r="AD51" s="93">
        <v>51.35</v>
      </c>
      <c r="AE51" s="93">
        <v>52</v>
      </c>
      <c r="AF51" s="105">
        <v>51.35</v>
      </c>
      <c r="AG51" s="93">
        <v>49.83</v>
      </c>
    </row>
    <row r="52" spans="1:33">
      <c r="A52" s="93">
        <v>51</v>
      </c>
      <c r="B52" s="93">
        <v>50.93</v>
      </c>
      <c r="C52" s="93">
        <v>50.93</v>
      </c>
      <c r="D52" s="93">
        <v>51</v>
      </c>
      <c r="E52" s="93">
        <v>50.93</v>
      </c>
      <c r="F52" s="93">
        <v>49.55</v>
      </c>
      <c r="G52" s="93">
        <v>51</v>
      </c>
      <c r="H52" s="93">
        <v>50.93</v>
      </c>
      <c r="I52" s="93">
        <v>50.93</v>
      </c>
      <c r="J52" s="93">
        <v>51</v>
      </c>
      <c r="K52" s="93">
        <v>51.83</v>
      </c>
      <c r="L52" s="93">
        <v>51.83</v>
      </c>
      <c r="M52" s="93">
        <v>51</v>
      </c>
      <c r="N52" s="93">
        <v>50.93</v>
      </c>
      <c r="O52" s="93">
        <v>50.93</v>
      </c>
      <c r="P52" s="93">
        <v>51</v>
      </c>
      <c r="Q52" s="93">
        <v>50.93</v>
      </c>
      <c r="R52" s="93">
        <v>50.93</v>
      </c>
      <c r="S52" s="93">
        <v>51</v>
      </c>
      <c r="T52" s="93">
        <v>50.93</v>
      </c>
      <c r="U52" s="93">
        <v>50.93</v>
      </c>
      <c r="V52" s="93">
        <v>51</v>
      </c>
      <c r="W52" s="93">
        <v>38.35</v>
      </c>
      <c r="X52" s="93">
        <v>38.35</v>
      </c>
      <c r="Y52" s="93">
        <v>51</v>
      </c>
      <c r="Z52" s="93">
        <v>50.93</v>
      </c>
      <c r="AA52" s="93">
        <v>50.93</v>
      </c>
      <c r="AB52" s="93">
        <v>51</v>
      </c>
      <c r="AC52" s="93">
        <v>50.93</v>
      </c>
      <c r="AD52" s="93">
        <v>50.93</v>
      </c>
      <c r="AE52" s="93">
        <v>51</v>
      </c>
      <c r="AF52" s="105">
        <v>50.93</v>
      </c>
      <c r="AG52" s="93">
        <v>49.55</v>
      </c>
    </row>
    <row r="53" spans="1:33">
      <c r="A53" s="93">
        <v>50</v>
      </c>
      <c r="B53" s="93">
        <v>50.54</v>
      </c>
      <c r="C53" s="93">
        <v>50.54</v>
      </c>
      <c r="D53" s="93">
        <v>50</v>
      </c>
      <c r="E53" s="93">
        <v>50.54</v>
      </c>
      <c r="F53" s="93">
        <v>49.19</v>
      </c>
      <c r="G53" s="93">
        <v>50</v>
      </c>
      <c r="H53" s="93">
        <v>50.54</v>
      </c>
      <c r="I53" s="93">
        <v>50.54</v>
      </c>
      <c r="J53" s="93">
        <v>50</v>
      </c>
      <c r="K53" s="93">
        <v>51.44</v>
      </c>
      <c r="L53" s="93">
        <v>51.44</v>
      </c>
      <c r="M53" s="93">
        <v>50</v>
      </c>
      <c r="N53" s="93">
        <v>50.53</v>
      </c>
      <c r="O53" s="93">
        <v>50.53</v>
      </c>
      <c r="P53" s="93">
        <v>50</v>
      </c>
      <c r="Q53" s="93">
        <v>50.55</v>
      </c>
      <c r="R53" s="93">
        <v>50.55</v>
      </c>
      <c r="S53" s="93">
        <v>50</v>
      </c>
      <c r="T53" s="93">
        <v>50.54</v>
      </c>
      <c r="U53" s="93">
        <v>50.54</v>
      </c>
      <c r="V53" s="93">
        <v>50</v>
      </c>
      <c r="W53" s="93">
        <v>38.06</v>
      </c>
      <c r="X53" s="93">
        <v>38.06</v>
      </c>
      <c r="Y53" s="93">
        <v>50</v>
      </c>
      <c r="Z53" s="93">
        <v>50.54</v>
      </c>
      <c r="AA53" s="93">
        <v>50.54</v>
      </c>
      <c r="AB53" s="93">
        <v>50</v>
      </c>
      <c r="AC53" s="93">
        <v>50.34</v>
      </c>
      <c r="AD53" s="93">
        <v>50.34</v>
      </c>
      <c r="AE53" s="93">
        <v>50</v>
      </c>
      <c r="AF53" s="105">
        <v>50.54</v>
      </c>
      <c r="AG53" s="93">
        <v>49.2</v>
      </c>
    </row>
    <row r="54" spans="1:33">
      <c r="A54" s="93">
        <v>49</v>
      </c>
      <c r="B54" s="93">
        <v>50.17</v>
      </c>
      <c r="C54" s="93">
        <v>50.17</v>
      </c>
      <c r="D54" s="93">
        <v>49</v>
      </c>
      <c r="E54" s="93">
        <v>50.16</v>
      </c>
      <c r="F54" s="93">
        <v>48.91</v>
      </c>
      <c r="G54" s="93">
        <v>49</v>
      </c>
      <c r="H54" s="93">
        <v>50.17</v>
      </c>
      <c r="I54" s="93">
        <v>50.17</v>
      </c>
      <c r="J54" s="93">
        <v>49</v>
      </c>
      <c r="K54" s="93">
        <v>51.06</v>
      </c>
      <c r="L54" s="93">
        <v>51.06</v>
      </c>
      <c r="M54" s="93">
        <v>49</v>
      </c>
      <c r="N54" s="93">
        <v>50.12</v>
      </c>
      <c r="O54" s="93">
        <v>50.12</v>
      </c>
      <c r="P54" s="93">
        <v>49</v>
      </c>
      <c r="Q54" s="93">
        <v>50.17</v>
      </c>
      <c r="R54" s="93">
        <v>50.17</v>
      </c>
      <c r="S54" s="93">
        <v>49</v>
      </c>
      <c r="T54" s="93">
        <v>50.16</v>
      </c>
      <c r="U54" s="93">
        <v>50.16</v>
      </c>
      <c r="V54" s="93">
        <v>49</v>
      </c>
      <c r="W54" s="93">
        <v>37.770000000000003</v>
      </c>
      <c r="X54" s="93">
        <v>37.770000000000003</v>
      </c>
      <c r="Y54" s="93">
        <v>49</v>
      </c>
      <c r="Z54" s="93">
        <v>50.17</v>
      </c>
      <c r="AA54" s="93">
        <v>50.17</v>
      </c>
      <c r="AB54" s="93">
        <v>49</v>
      </c>
      <c r="AC54" s="93">
        <v>49.95</v>
      </c>
      <c r="AD54" s="93">
        <v>49.95</v>
      </c>
      <c r="AE54" s="93">
        <v>49</v>
      </c>
      <c r="AF54" s="105">
        <v>50.17</v>
      </c>
      <c r="AG54" s="93">
        <v>48.92</v>
      </c>
    </row>
    <row r="55" spans="1:33">
      <c r="A55" s="93">
        <v>48</v>
      </c>
      <c r="B55" s="93">
        <v>49.82</v>
      </c>
      <c r="C55" s="93">
        <v>49.82</v>
      </c>
      <c r="D55" s="93">
        <v>48</v>
      </c>
      <c r="E55" s="93">
        <v>49.81</v>
      </c>
      <c r="F55" s="93">
        <v>48.62</v>
      </c>
      <c r="G55" s="93">
        <v>48</v>
      </c>
      <c r="H55" s="93">
        <v>49.82</v>
      </c>
      <c r="I55" s="93">
        <v>49.82</v>
      </c>
      <c r="J55" s="93">
        <v>48</v>
      </c>
      <c r="K55" s="93">
        <v>50.72</v>
      </c>
      <c r="L55" s="93">
        <v>50.72</v>
      </c>
      <c r="M55" s="93">
        <v>48</v>
      </c>
      <c r="N55" s="93">
        <v>49.73</v>
      </c>
      <c r="O55" s="93">
        <v>49.73</v>
      </c>
      <c r="P55" s="93">
        <v>48</v>
      </c>
      <c r="Q55" s="93">
        <v>49.81</v>
      </c>
      <c r="R55" s="93">
        <v>49.81</v>
      </c>
      <c r="S55" s="93">
        <v>48</v>
      </c>
      <c r="T55" s="93">
        <v>49.81</v>
      </c>
      <c r="U55" s="93">
        <v>49.81</v>
      </c>
      <c r="V55" s="93">
        <v>48</v>
      </c>
      <c r="W55" s="93">
        <v>37.51</v>
      </c>
      <c r="X55" s="93">
        <v>37.51</v>
      </c>
      <c r="Y55" s="93">
        <v>48</v>
      </c>
      <c r="Z55" s="93">
        <v>49.82</v>
      </c>
      <c r="AA55" s="93">
        <v>49.82</v>
      </c>
      <c r="AB55" s="93">
        <v>48</v>
      </c>
      <c r="AC55" s="93">
        <v>49.59</v>
      </c>
      <c r="AD55" s="93">
        <v>49.59</v>
      </c>
      <c r="AE55" s="93">
        <v>48</v>
      </c>
      <c r="AF55" s="105">
        <v>49.82</v>
      </c>
      <c r="AG55" s="93">
        <v>48.62</v>
      </c>
    </row>
    <row r="56" spans="1:33">
      <c r="A56" s="93">
        <v>47</v>
      </c>
      <c r="B56" s="93">
        <v>49.42</v>
      </c>
      <c r="C56" s="93">
        <v>49.42</v>
      </c>
      <c r="D56" s="93">
        <v>47</v>
      </c>
      <c r="E56" s="93">
        <v>49.41</v>
      </c>
      <c r="F56" s="93">
        <v>48.25</v>
      </c>
      <c r="G56" s="93">
        <v>47</v>
      </c>
      <c r="H56" s="93">
        <v>49.42</v>
      </c>
      <c r="I56" s="93">
        <v>49.42</v>
      </c>
      <c r="J56" s="93">
        <v>47</v>
      </c>
      <c r="K56" s="93">
        <v>50.32</v>
      </c>
      <c r="L56" s="93">
        <v>50.32</v>
      </c>
      <c r="M56" s="93">
        <v>47</v>
      </c>
      <c r="N56" s="93">
        <v>49.39</v>
      </c>
      <c r="O56" s="93">
        <v>49.39</v>
      </c>
      <c r="P56" s="93">
        <v>47</v>
      </c>
      <c r="Q56" s="93">
        <v>49.42</v>
      </c>
      <c r="R56" s="93">
        <v>49.42</v>
      </c>
      <c r="S56" s="93">
        <v>47</v>
      </c>
      <c r="T56" s="93">
        <v>49.41</v>
      </c>
      <c r="U56" s="93">
        <v>49.41</v>
      </c>
      <c r="V56" s="93">
        <v>47</v>
      </c>
      <c r="W56" s="93">
        <v>37.21</v>
      </c>
      <c r="X56" s="93">
        <v>37.21</v>
      </c>
      <c r="Y56" s="93">
        <v>47</v>
      </c>
      <c r="Z56" s="93">
        <v>49.42</v>
      </c>
      <c r="AA56" s="93">
        <v>49.42</v>
      </c>
      <c r="AB56" s="93">
        <v>47</v>
      </c>
      <c r="AC56" s="93">
        <v>49.22</v>
      </c>
      <c r="AD56" s="93">
        <v>49.22</v>
      </c>
      <c r="AE56" s="93">
        <v>47</v>
      </c>
      <c r="AF56" s="105">
        <v>49.42</v>
      </c>
      <c r="AG56" s="93">
        <v>48.25</v>
      </c>
    </row>
    <row r="57" spans="1:33">
      <c r="A57" s="93">
        <v>46</v>
      </c>
      <c r="B57" s="93">
        <v>48.99</v>
      </c>
      <c r="C57" s="93">
        <v>48.99</v>
      </c>
      <c r="D57" s="93">
        <v>46</v>
      </c>
      <c r="E57" s="93">
        <v>48.99</v>
      </c>
      <c r="F57" s="93">
        <v>47.94</v>
      </c>
      <c r="G57" s="93">
        <v>46</v>
      </c>
      <c r="H57" s="93">
        <v>48.99</v>
      </c>
      <c r="I57" s="93">
        <v>48.99</v>
      </c>
      <c r="J57" s="93">
        <v>46</v>
      </c>
      <c r="K57" s="93">
        <v>49.89</v>
      </c>
      <c r="L57" s="93">
        <v>49.89</v>
      </c>
      <c r="M57" s="93">
        <v>46</v>
      </c>
      <c r="N57" s="93">
        <v>48.98</v>
      </c>
      <c r="O57" s="93">
        <v>48.98</v>
      </c>
      <c r="P57" s="93">
        <v>46</v>
      </c>
      <c r="Q57" s="93">
        <v>48.99</v>
      </c>
      <c r="R57" s="93">
        <v>48.99</v>
      </c>
      <c r="S57" s="93">
        <v>46</v>
      </c>
      <c r="T57" s="93">
        <v>48.99</v>
      </c>
      <c r="U57" s="93">
        <v>48.99</v>
      </c>
      <c r="V57" s="93">
        <v>46</v>
      </c>
      <c r="W57" s="93">
        <v>36.89</v>
      </c>
      <c r="X57" s="93">
        <v>36.89</v>
      </c>
      <c r="Y57" s="93">
        <v>46</v>
      </c>
      <c r="Z57" s="93">
        <v>48.99</v>
      </c>
      <c r="AA57" s="93">
        <v>48.99</v>
      </c>
      <c r="AB57" s="93">
        <v>46</v>
      </c>
      <c r="AC57" s="93">
        <v>48.82</v>
      </c>
      <c r="AD57" s="93">
        <v>48.82</v>
      </c>
      <c r="AE57" s="93">
        <v>46</v>
      </c>
      <c r="AF57" s="105">
        <v>48.99</v>
      </c>
      <c r="AG57" s="93">
        <v>47.95</v>
      </c>
    </row>
    <row r="58" spans="1:33">
      <c r="A58" s="93">
        <v>45</v>
      </c>
      <c r="B58" s="93">
        <v>48.62</v>
      </c>
      <c r="C58" s="93">
        <v>48.62</v>
      </c>
      <c r="D58" s="93">
        <v>45</v>
      </c>
      <c r="E58" s="93">
        <v>48.62</v>
      </c>
      <c r="F58" s="93">
        <v>47.52</v>
      </c>
      <c r="G58" s="93">
        <v>45</v>
      </c>
      <c r="H58" s="93">
        <v>48.63</v>
      </c>
      <c r="I58" s="93">
        <v>48.63</v>
      </c>
      <c r="J58" s="93">
        <v>45</v>
      </c>
      <c r="K58" s="93">
        <v>49.52</v>
      </c>
      <c r="L58" s="93">
        <v>49.52</v>
      </c>
      <c r="M58" s="93">
        <v>45</v>
      </c>
      <c r="N58" s="93">
        <v>48.62</v>
      </c>
      <c r="O58" s="93">
        <v>48.62</v>
      </c>
      <c r="P58" s="93">
        <v>45</v>
      </c>
      <c r="Q58" s="93">
        <v>48.62</v>
      </c>
      <c r="R58" s="93">
        <v>48.62</v>
      </c>
      <c r="S58" s="93">
        <v>45</v>
      </c>
      <c r="T58" s="93">
        <v>48.62</v>
      </c>
      <c r="U58" s="93">
        <v>48.62</v>
      </c>
      <c r="V58" s="93">
        <v>45</v>
      </c>
      <c r="W58" s="93">
        <v>36.61</v>
      </c>
      <c r="X58" s="93">
        <v>36.61</v>
      </c>
      <c r="Y58" s="93">
        <v>45</v>
      </c>
      <c r="Z58" s="93">
        <v>48.62</v>
      </c>
      <c r="AA58" s="93">
        <v>48.62</v>
      </c>
      <c r="AB58" s="93">
        <v>45</v>
      </c>
      <c r="AC58" s="93">
        <v>48.43</v>
      </c>
      <c r="AD58" s="93">
        <v>48.43</v>
      </c>
      <c r="AE58" s="93">
        <v>45</v>
      </c>
      <c r="AF58" s="105">
        <v>48.62</v>
      </c>
      <c r="AG58" s="93">
        <v>47.53</v>
      </c>
    </row>
    <row r="59" spans="1:33">
      <c r="A59" s="93">
        <v>44</v>
      </c>
      <c r="B59" s="93">
        <v>48.28</v>
      </c>
      <c r="C59" s="93">
        <v>48.28</v>
      </c>
      <c r="D59" s="93">
        <v>44</v>
      </c>
      <c r="E59" s="93">
        <v>48.27</v>
      </c>
      <c r="F59" s="93">
        <v>47.16</v>
      </c>
      <c r="G59" s="93">
        <v>44</v>
      </c>
      <c r="H59" s="93">
        <v>48.28</v>
      </c>
      <c r="I59" s="93">
        <v>48.28</v>
      </c>
      <c r="J59" s="93">
        <v>44</v>
      </c>
      <c r="K59" s="93">
        <v>49.17</v>
      </c>
      <c r="L59" s="93">
        <v>49.17</v>
      </c>
      <c r="M59" s="93">
        <v>44</v>
      </c>
      <c r="N59" s="93">
        <v>48.27</v>
      </c>
      <c r="O59" s="93">
        <v>48.27</v>
      </c>
      <c r="P59" s="93">
        <v>44</v>
      </c>
      <c r="Q59" s="93">
        <v>48.29</v>
      </c>
      <c r="R59" s="93">
        <v>48.29</v>
      </c>
      <c r="S59" s="93">
        <v>44</v>
      </c>
      <c r="T59" s="93">
        <v>48.27</v>
      </c>
      <c r="U59" s="93">
        <v>48.27</v>
      </c>
      <c r="V59" s="93">
        <v>44</v>
      </c>
      <c r="W59" s="93">
        <v>36.35</v>
      </c>
      <c r="X59" s="93">
        <v>36.35</v>
      </c>
      <c r="Y59" s="93">
        <v>44</v>
      </c>
      <c r="Z59" s="93">
        <v>48.28</v>
      </c>
      <c r="AA59" s="93">
        <v>48.28</v>
      </c>
      <c r="AB59" s="93">
        <v>44</v>
      </c>
      <c r="AC59" s="93">
        <v>48.04</v>
      </c>
      <c r="AD59" s="93">
        <v>48.04</v>
      </c>
      <c r="AE59" s="93">
        <v>44</v>
      </c>
      <c r="AF59" s="105">
        <v>48.28</v>
      </c>
      <c r="AG59" s="93">
        <v>47.17</v>
      </c>
    </row>
    <row r="60" spans="1:33">
      <c r="A60" s="93">
        <v>43</v>
      </c>
      <c r="B60" s="93">
        <v>47.87</v>
      </c>
      <c r="C60" s="93">
        <v>47.87</v>
      </c>
      <c r="D60" s="93">
        <v>43</v>
      </c>
      <c r="E60" s="93">
        <v>47.87</v>
      </c>
      <c r="F60" s="93">
        <v>46.85</v>
      </c>
      <c r="G60" s="93">
        <v>43</v>
      </c>
      <c r="H60" s="93">
        <v>47.88</v>
      </c>
      <c r="I60" s="93">
        <v>47.88</v>
      </c>
      <c r="J60" s="93">
        <v>43</v>
      </c>
      <c r="K60" s="93">
        <v>48.77</v>
      </c>
      <c r="L60" s="93">
        <v>48.77</v>
      </c>
      <c r="M60" s="93">
        <v>43</v>
      </c>
      <c r="N60" s="93">
        <v>47.86</v>
      </c>
      <c r="O60" s="93">
        <v>47.86</v>
      </c>
      <c r="P60" s="93">
        <v>43</v>
      </c>
      <c r="Q60" s="93">
        <v>47.86</v>
      </c>
      <c r="R60" s="93">
        <v>47.86</v>
      </c>
      <c r="S60" s="93">
        <v>43</v>
      </c>
      <c r="T60" s="93">
        <v>47.87</v>
      </c>
      <c r="U60" s="93">
        <v>47.87</v>
      </c>
      <c r="V60" s="93">
        <v>43</v>
      </c>
      <c r="W60" s="93">
        <v>36.049999999999997</v>
      </c>
      <c r="X60" s="93">
        <v>36.049999999999997</v>
      </c>
      <c r="Y60" s="93">
        <v>43</v>
      </c>
      <c r="Z60" s="93">
        <v>47.87</v>
      </c>
      <c r="AA60" s="93">
        <v>47.87</v>
      </c>
      <c r="AB60" s="93">
        <v>43</v>
      </c>
      <c r="AC60" s="93">
        <v>47.67</v>
      </c>
      <c r="AD60" s="93">
        <v>47.67</v>
      </c>
      <c r="AE60" s="93">
        <v>43</v>
      </c>
      <c r="AF60" s="105">
        <v>47.87</v>
      </c>
      <c r="AG60" s="93">
        <v>46.86</v>
      </c>
    </row>
    <row r="61" spans="1:33">
      <c r="A61" s="93">
        <v>42</v>
      </c>
      <c r="B61" s="93">
        <v>47.48</v>
      </c>
      <c r="C61" s="93">
        <v>47.48</v>
      </c>
      <c r="D61" s="93">
        <v>42</v>
      </c>
      <c r="E61" s="93">
        <v>47.47</v>
      </c>
      <c r="F61" s="93">
        <v>46.57</v>
      </c>
      <c r="G61" s="93">
        <v>42</v>
      </c>
      <c r="H61" s="93">
        <v>47.48</v>
      </c>
      <c r="I61" s="93">
        <v>47.48</v>
      </c>
      <c r="J61" s="93">
        <v>42</v>
      </c>
      <c r="K61" s="93">
        <v>48.38</v>
      </c>
      <c r="L61" s="93">
        <v>48.38</v>
      </c>
      <c r="M61" s="93">
        <v>42</v>
      </c>
      <c r="N61" s="93">
        <v>47.45</v>
      </c>
      <c r="O61" s="93">
        <v>47.45</v>
      </c>
      <c r="P61" s="93">
        <v>42</v>
      </c>
      <c r="Q61" s="93">
        <v>47.47</v>
      </c>
      <c r="R61" s="93">
        <v>47.47</v>
      </c>
      <c r="S61" s="93">
        <v>42</v>
      </c>
      <c r="T61" s="93">
        <v>47.47</v>
      </c>
      <c r="U61" s="93">
        <v>47.47</v>
      </c>
      <c r="V61" s="93">
        <v>42</v>
      </c>
      <c r="W61" s="93">
        <v>35.75</v>
      </c>
      <c r="X61" s="93">
        <v>35.75</v>
      </c>
      <c r="Y61" s="93">
        <v>42</v>
      </c>
      <c r="Z61" s="93">
        <v>47.48</v>
      </c>
      <c r="AA61" s="93">
        <v>47.48</v>
      </c>
      <c r="AB61" s="93">
        <v>42</v>
      </c>
      <c r="AC61" s="93">
        <v>47.29</v>
      </c>
      <c r="AD61" s="93">
        <v>47.29</v>
      </c>
      <c r="AE61" s="93">
        <v>42</v>
      </c>
      <c r="AF61" s="105">
        <v>47.48</v>
      </c>
      <c r="AG61" s="93">
        <v>46.58</v>
      </c>
    </row>
    <row r="62" spans="1:33">
      <c r="A62" s="93">
        <v>41</v>
      </c>
      <c r="B62" s="93">
        <v>47.13</v>
      </c>
      <c r="C62" s="93">
        <v>47.13</v>
      </c>
      <c r="D62" s="93">
        <v>41</v>
      </c>
      <c r="E62" s="93">
        <v>47.12</v>
      </c>
      <c r="F62" s="93">
        <v>46.23</v>
      </c>
      <c r="G62" s="93">
        <v>41</v>
      </c>
      <c r="H62" s="93">
        <v>47.13</v>
      </c>
      <c r="I62" s="93">
        <v>47.13</v>
      </c>
      <c r="J62" s="93">
        <v>41</v>
      </c>
      <c r="K62" s="93">
        <v>48.02</v>
      </c>
      <c r="L62" s="93">
        <v>48.02</v>
      </c>
      <c r="M62" s="93">
        <v>41</v>
      </c>
      <c r="N62" s="93">
        <v>47.08</v>
      </c>
      <c r="O62" s="93">
        <v>47.08</v>
      </c>
      <c r="P62" s="93">
        <v>41</v>
      </c>
      <c r="Q62" s="93">
        <v>47.15</v>
      </c>
      <c r="R62" s="93">
        <v>47.15</v>
      </c>
      <c r="S62" s="93">
        <v>41</v>
      </c>
      <c r="T62" s="93">
        <v>47.12</v>
      </c>
      <c r="U62" s="93">
        <v>47.12</v>
      </c>
      <c r="V62" s="93">
        <v>41</v>
      </c>
      <c r="W62" s="93">
        <v>35.479999999999997</v>
      </c>
      <c r="X62" s="93">
        <v>35.479999999999997</v>
      </c>
      <c r="Y62" s="93">
        <v>41</v>
      </c>
      <c r="Z62" s="93">
        <v>47.13</v>
      </c>
      <c r="AA62" s="93">
        <v>47.13</v>
      </c>
      <c r="AB62" s="93">
        <v>41</v>
      </c>
      <c r="AC62" s="93">
        <v>46.9</v>
      </c>
      <c r="AD62" s="93">
        <v>46.9</v>
      </c>
      <c r="AE62" s="93">
        <v>41</v>
      </c>
      <c r="AF62" s="105">
        <v>47.13</v>
      </c>
      <c r="AG62" s="93">
        <v>46.24</v>
      </c>
    </row>
    <row r="63" spans="1:33">
      <c r="A63" s="93">
        <v>40</v>
      </c>
      <c r="B63" s="93">
        <v>46.78</v>
      </c>
      <c r="C63" s="93">
        <v>46.78</v>
      </c>
      <c r="D63" s="93">
        <v>40</v>
      </c>
      <c r="E63" s="93">
        <v>46.78</v>
      </c>
      <c r="F63" s="93">
        <v>45.88</v>
      </c>
      <c r="G63" s="93">
        <v>40</v>
      </c>
      <c r="H63" s="93">
        <v>46.78</v>
      </c>
      <c r="I63" s="93">
        <v>46.78</v>
      </c>
      <c r="J63" s="93">
        <v>40</v>
      </c>
      <c r="K63" s="93">
        <v>47.68</v>
      </c>
      <c r="L63" s="93">
        <v>47.68</v>
      </c>
      <c r="M63" s="93">
        <v>40</v>
      </c>
      <c r="N63" s="93">
        <v>46.73</v>
      </c>
      <c r="O63" s="93">
        <v>46.73</v>
      </c>
      <c r="P63" s="93">
        <v>40</v>
      </c>
      <c r="Q63" s="93">
        <v>46.77</v>
      </c>
      <c r="R63" s="93">
        <v>46.77</v>
      </c>
      <c r="S63" s="93">
        <v>40</v>
      </c>
      <c r="T63" s="93">
        <v>46.78</v>
      </c>
      <c r="U63" s="93">
        <v>46.78</v>
      </c>
      <c r="V63" s="93">
        <v>40</v>
      </c>
      <c r="W63" s="93">
        <v>35.229999999999997</v>
      </c>
      <c r="X63" s="93">
        <v>35.229999999999997</v>
      </c>
      <c r="Y63" s="93">
        <v>40</v>
      </c>
      <c r="Z63" s="93">
        <v>46.78</v>
      </c>
      <c r="AA63" s="93">
        <v>46.78</v>
      </c>
      <c r="AB63" s="93">
        <v>40</v>
      </c>
      <c r="AC63" s="93">
        <v>46.54</v>
      </c>
      <c r="AD63" s="93">
        <v>46.54</v>
      </c>
      <c r="AE63" s="93">
        <v>40</v>
      </c>
      <c r="AF63" s="105">
        <v>46.78</v>
      </c>
      <c r="AG63" s="93">
        <v>45.89</v>
      </c>
    </row>
    <row r="64" spans="1:33">
      <c r="A64" s="93">
        <v>39</v>
      </c>
      <c r="B64" s="93">
        <v>46.46</v>
      </c>
      <c r="C64" s="93">
        <v>46.46</v>
      </c>
      <c r="D64" s="93">
        <v>39</v>
      </c>
      <c r="E64" s="93">
        <v>46.45</v>
      </c>
      <c r="F64" s="93">
        <v>45.55</v>
      </c>
      <c r="G64" s="93">
        <v>39</v>
      </c>
      <c r="H64" s="93">
        <v>46.46</v>
      </c>
      <c r="I64" s="93">
        <v>46.46</v>
      </c>
      <c r="J64" s="93">
        <v>39</v>
      </c>
      <c r="K64" s="93">
        <v>47.36</v>
      </c>
      <c r="L64" s="93">
        <v>47.36</v>
      </c>
      <c r="M64" s="93">
        <v>39</v>
      </c>
      <c r="N64" s="93">
        <v>46.42</v>
      </c>
      <c r="O64" s="93">
        <v>46.42</v>
      </c>
      <c r="P64" s="93">
        <v>39</v>
      </c>
      <c r="Q64" s="93">
        <v>46.45</v>
      </c>
      <c r="R64" s="93">
        <v>46.45</v>
      </c>
      <c r="S64" s="93">
        <v>39</v>
      </c>
      <c r="T64" s="93">
        <v>46.45</v>
      </c>
      <c r="U64" s="93">
        <v>46.45</v>
      </c>
      <c r="V64" s="93">
        <v>39</v>
      </c>
      <c r="W64" s="93">
        <v>34.979999999999997</v>
      </c>
      <c r="X64" s="93">
        <v>34.979999999999997</v>
      </c>
      <c r="Y64" s="93">
        <v>39</v>
      </c>
      <c r="Z64" s="93">
        <v>46.46</v>
      </c>
      <c r="AA64" s="93">
        <v>46.46</v>
      </c>
      <c r="AB64" s="93">
        <v>39</v>
      </c>
      <c r="AC64" s="93">
        <v>46.19</v>
      </c>
      <c r="AD64" s="93">
        <v>46.19</v>
      </c>
      <c r="AE64" s="93">
        <v>39</v>
      </c>
      <c r="AF64" s="105">
        <v>46.46</v>
      </c>
      <c r="AG64" s="93">
        <v>45.55</v>
      </c>
    </row>
    <row r="65" spans="1:33">
      <c r="A65" s="93">
        <v>38</v>
      </c>
      <c r="B65" s="93">
        <v>46.08</v>
      </c>
      <c r="C65" s="93">
        <v>46.08</v>
      </c>
      <c r="D65" s="93">
        <v>38</v>
      </c>
      <c r="E65" s="93">
        <v>46.08</v>
      </c>
      <c r="F65" s="93">
        <v>45.23</v>
      </c>
      <c r="G65" s="93">
        <v>38</v>
      </c>
      <c r="H65" s="93">
        <v>46.08</v>
      </c>
      <c r="I65" s="93">
        <v>46.08</v>
      </c>
      <c r="J65" s="93">
        <v>38</v>
      </c>
      <c r="K65" s="93">
        <v>46.98</v>
      </c>
      <c r="L65" s="93">
        <v>46.98</v>
      </c>
      <c r="M65" s="93">
        <v>38</v>
      </c>
      <c r="N65" s="93">
        <v>46.05</v>
      </c>
      <c r="O65" s="93">
        <v>46.05</v>
      </c>
      <c r="P65" s="93">
        <v>38</v>
      </c>
      <c r="Q65" s="93">
        <v>46.09</v>
      </c>
      <c r="R65" s="93">
        <v>46.09</v>
      </c>
      <c r="S65" s="93">
        <v>38</v>
      </c>
      <c r="T65" s="93">
        <v>46.08</v>
      </c>
      <c r="U65" s="93">
        <v>46.08</v>
      </c>
      <c r="V65" s="93">
        <v>38</v>
      </c>
      <c r="W65" s="93">
        <v>34.700000000000003</v>
      </c>
      <c r="X65" s="93">
        <v>34.700000000000003</v>
      </c>
      <c r="Y65" s="93">
        <v>38</v>
      </c>
      <c r="Z65" s="93">
        <v>46.08</v>
      </c>
      <c r="AA65" s="93">
        <v>46.08</v>
      </c>
      <c r="AB65" s="93">
        <v>38</v>
      </c>
      <c r="AC65" s="93">
        <v>45.83</v>
      </c>
      <c r="AD65" s="93">
        <v>45.83</v>
      </c>
      <c r="AE65" s="93">
        <v>38</v>
      </c>
      <c r="AF65" s="105">
        <v>46.08</v>
      </c>
      <c r="AG65" s="93">
        <v>45.24</v>
      </c>
    </row>
    <row r="66" spans="1:33">
      <c r="A66" s="93">
        <v>37</v>
      </c>
      <c r="B66" s="93">
        <v>45.69</v>
      </c>
      <c r="C66" s="93">
        <v>45.69</v>
      </c>
      <c r="D66" s="93">
        <v>37</v>
      </c>
      <c r="E66" s="93">
        <v>45.69</v>
      </c>
      <c r="F66" s="93">
        <v>44.88</v>
      </c>
      <c r="G66" s="93">
        <v>37</v>
      </c>
      <c r="H66" s="93">
        <v>45.69</v>
      </c>
      <c r="I66" s="93">
        <v>45.69</v>
      </c>
      <c r="J66" s="93">
        <v>37</v>
      </c>
      <c r="K66" s="93">
        <v>46.59</v>
      </c>
      <c r="L66" s="93">
        <v>46.59</v>
      </c>
      <c r="M66" s="93">
        <v>37</v>
      </c>
      <c r="N66" s="93">
        <v>45.66</v>
      </c>
      <c r="O66" s="93">
        <v>45.66</v>
      </c>
      <c r="P66" s="93">
        <v>37</v>
      </c>
      <c r="Q66" s="93">
        <v>45.69</v>
      </c>
      <c r="R66" s="93">
        <v>45.69</v>
      </c>
      <c r="S66" s="93">
        <v>37</v>
      </c>
      <c r="T66" s="93">
        <v>45.69</v>
      </c>
      <c r="U66" s="93">
        <v>45.69</v>
      </c>
      <c r="V66" s="93">
        <v>37</v>
      </c>
      <c r="W66" s="93">
        <v>34.409999999999997</v>
      </c>
      <c r="X66" s="93">
        <v>34.409999999999997</v>
      </c>
      <c r="Y66" s="93">
        <v>37</v>
      </c>
      <c r="Z66" s="93">
        <v>45.69</v>
      </c>
      <c r="AA66" s="93">
        <v>45.69</v>
      </c>
      <c r="AB66" s="93">
        <v>37</v>
      </c>
      <c r="AC66" s="93">
        <v>45.47</v>
      </c>
      <c r="AD66" s="93">
        <v>45.47</v>
      </c>
      <c r="AE66" s="93">
        <v>37</v>
      </c>
      <c r="AF66" s="105">
        <v>45.69</v>
      </c>
      <c r="AG66" s="93">
        <v>44.89</v>
      </c>
    </row>
    <row r="67" spans="1:33">
      <c r="A67" s="93">
        <v>36</v>
      </c>
      <c r="B67" s="93">
        <v>45.32</v>
      </c>
      <c r="C67" s="93">
        <v>45.32</v>
      </c>
      <c r="D67" s="93">
        <v>36</v>
      </c>
      <c r="E67" s="93">
        <v>45.31</v>
      </c>
      <c r="F67" s="93">
        <v>44.6</v>
      </c>
      <c r="G67" s="93">
        <v>36</v>
      </c>
      <c r="H67" s="93">
        <v>45.32</v>
      </c>
      <c r="I67" s="93">
        <v>45.32</v>
      </c>
      <c r="J67" s="93">
        <v>36</v>
      </c>
      <c r="K67" s="93">
        <v>46.22</v>
      </c>
      <c r="L67" s="93">
        <v>46.22</v>
      </c>
      <c r="M67" s="93">
        <v>36</v>
      </c>
      <c r="N67" s="93">
        <v>45.28</v>
      </c>
      <c r="O67" s="93">
        <v>45.28</v>
      </c>
      <c r="P67" s="93">
        <v>36</v>
      </c>
      <c r="Q67" s="93">
        <v>45.32</v>
      </c>
      <c r="R67" s="93">
        <v>45.32</v>
      </c>
      <c r="S67" s="93">
        <v>36</v>
      </c>
      <c r="T67" s="93">
        <v>45.31</v>
      </c>
      <c r="U67" s="93">
        <v>45.31</v>
      </c>
      <c r="V67" s="93">
        <v>36</v>
      </c>
      <c r="W67" s="93">
        <v>34.119999999999997</v>
      </c>
      <c r="X67" s="93">
        <v>34.119999999999997</v>
      </c>
      <c r="Y67" s="93">
        <v>36</v>
      </c>
      <c r="Z67" s="93">
        <v>45.32</v>
      </c>
      <c r="AA67" s="93">
        <v>45.32</v>
      </c>
      <c r="AB67" s="93">
        <v>36</v>
      </c>
      <c r="AC67" s="93">
        <v>45.04</v>
      </c>
      <c r="AD67" s="93">
        <v>45.04</v>
      </c>
      <c r="AE67" s="93">
        <v>36</v>
      </c>
      <c r="AF67" s="105">
        <v>45.32</v>
      </c>
      <c r="AG67" s="93">
        <v>44.61</v>
      </c>
    </row>
    <row r="68" spans="1:33">
      <c r="A68" s="93">
        <v>35</v>
      </c>
      <c r="B68" s="93">
        <v>44.96</v>
      </c>
      <c r="C68" s="93">
        <v>44.96</v>
      </c>
      <c r="D68" s="93">
        <v>35</v>
      </c>
      <c r="E68" s="93">
        <v>44.95</v>
      </c>
      <c r="F68" s="93">
        <v>44.35</v>
      </c>
      <c r="G68" s="93">
        <v>35</v>
      </c>
      <c r="H68" s="93">
        <v>44.96</v>
      </c>
      <c r="I68" s="93">
        <v>44.96</v>
      </c>
      <c r="J68" s="93">
        <v>35</v>
      </c>
      <c r="K68" s="93">
        <v>45.86</v>
      </c>
      <c r="L68" s="93">
        <v>45.86</v>
      </c>
      <c r="M68" s="93">
        <v>35</v>
      </c>
      <c r="N68" s="93">
        <v>44.91</v>
      </c>
      <c r="O68" s="93">
        <v>44.91</v>
      </c>
      <c r="P68" s="93">
        <v>35</v>
      </c>
      <c r="Q68" s="93">
        <v>44.96</v>
      </c>
      <c r="R68" s="93">
        <v>44.96</v>
      </c>
      <c r="S68" s="93">
        <v>35</v>
      </c>
      <c r="T68" s="93">
        <v>44.95</v>
      </c>
      <c r="U68" s="93">
        <v>44.95</v>
      </c>
      <c r="V68" s="93">
        <v>35</v>
      </c>
      <c r="W68" s="93">
        <v>33.85</v>
      </c>
      <c r="X68" s="93">
        <v>33.85</v>
      </c>
      <c r="Y68" s="93">
        <v>35</v>
      </c>
      <c r="Z68" s="93">
        <v>44.96</v>
      </c>
      <c r="AA68" s="93">
        <v>44.96</v>
      </c>
      <c r="AB68" s="93">
        <v>35</v>
      </c>
      <c r="AC68" s="93">
        <v>44.7</v>
      </c>
      <c r="AD68" s="93">
        <v>44.7</v>
      </c>
      <c r="AE68" s="93">
        <v>35</v>
      </c>
      <c r="AF68" s="105">
        <v>44.96</v>
      </c>
      <c r="AG68" s="93">
        <v>44.35</v>
      </c>
    </row>
    <row r="69" spans="1:33">
      <c r="A69" s="93">
        <v>34</v>
      </c>
      <c r="B69" s="93">
        <v>44.6</v>
      </c>
      <c r="C69" s="93">
        <v>44.6</v>
      </c>
      <c r="D69" s="93">
        <v>34</v>
      </c>
      <c r="E69" s="93">
        <v>44.6</v>
      </c>
      <c r="F69" s="93">
        <v>44.1</v>
      </c>
      <c r="G69" s="93">
        <v>34</v>
      </c>
      <c r="H69" s="93">
        <v>44.6</v>
      </c>
      <c r="I69" s="93">
        <v>44.6</v>
      </c>
      <c r="J69" s="93">
        <v>34</v>
      </c>
      <c r="K69" s="93">
        <v>45.5</v>
      </c>
      <c r="L69" s="93">
        <v>45.5</v>
      </c>
      <c r="M69" s="93">
        <v>34</v>
      </c>
      <c r="N69" s="93">
        <v>44.57</v>
      </c>
      <c r="O69" s="93">
        <v>44.57</v>
      </c>
      <c r="P69" s="93">
        <v>34</v>
      </c>
      <c r="Q69" s="93">
        <v>44.59</v>
      </c>
      <c r="R69" s="93">
        <v>44.59</v>
      </c>
      <c r="S69" s="93">
        <v>34</v>
      </c>
      <c r="T69" s="93">
        <v>44.6</v>
      </c>
      <c r="U69" s="93">
        <v>44.6</v>
      </c>
      <c r="V69" s="93">
        <v>34</v>
      </c>
      <c r="W69" s="93">
        <v>33.58</v>
      </c>
      <c r="X69" s="93">
        <v>33.58</v>
      </c>
      <c r="Y69" s="93">
        <v>34</v>
      </c>
      <c r="Z69" s="93">
        <v>44.6</v>
      </c>
      <c r="AA69" s="93">
        <v>44.6</v>
      </c>
      <c r="AB69" s="93">
        <v>34</v>
      </c>
      <c r="AC69" s="93">
        <v>44.38</v>
      </c>
      <c r="AD69" s="93">
        <v>44.38</v>
      </c>
      <c r="AE69" s="93">
        <v>34</v>
      </c>
      <c r="AF69" s="105">
        <v>44.6</v>
      </c>
      <c r="AG69" s="93">
        <v>44.11</v>
      </c>
    </row>
    <row r="70" spans="1:33">
      <c r="A70" s="93">
        <v>33</v>
      </c>
      <c r="B70" s="93">
        <v>44.23</v>
      </c>
      <c r="C70" s="93">
        <v>44.23</v>
      </c>
      <c r="D70" s="93">
        <v>33</v>
      </c>
      <c r="E70" s="93">
        <v>44.23</v>
      </c>
      <c r="F70" s="93">
        <v>43.84</v>
      </c>
      <c r="G70" s="93">
        <v>33</v>
      </c>
      <c r="H70" s="93">
        <v>44.23</v>
      </c>
      <c r="I70" s="93">
        <v>44.23</v>
      </c>
      <c r="J70" s="93">
        <v>33</v>
      </c>
      <c r="K70" s="93">
        <v>45.13</v>
      </c>
      <c r="L70" s="93">
        <v>45.13</v>
      </c>
      <c r="M70" s="93">
        <v>33</v>
      </c>
      <c r="N70" s="93">
        <v>44.22</v>
      </c>
      <c r="O70" s="93">
        <v>44.22</v>
      </c>
      <c r="P70" s="93">
        <v>33</v>
      </c>
      <c r="Q70" s="93">
        <v>44.24</v>
      </c>
      <c r="R70" s="93">
        <v>44.24</v>
      </c>
      <c r="S70" s="93">
        <v>33</v>
      </c>
      <c r="T70" s="93">
        <v>44.23</v>
      </c>
      <c r="U70" s="93">
        <v>44.23</v>
      </c>
      <c r="V70" s="93">
        <v>33</v>
      </c>
      <c r="W70" s="93">
        <v>33.31</v>
      </c>
      <c r="X70" s="93">
        <v>33.31</v>
      </c>
      <c r="Y70" s="93">
        <v>33</v>
      </c>
      <c r="Z70" s="93">
        <v>44.23</v>
      </c>
      <c r="AA70" s="93">
        <v>44.23</v>
      </c>
      <c r="AB70" s="93">
        <v>33</v>
      </c>
      <c r="AC70" s="93">
        <v>44.07</v>
      </c>
      <c r="AD70" s="93">
        <v>44.07</v>
      </c>
      <c r="AE70" s="93">
        <v>33</v>
      </c>
      <c r="AF70" s="105">
        <v>44.23</v>
      </c>
      <c r="AG70" s="93">
        <v>43.84</v>
      </c>
    </row>
    <row r="71" spans="1:33">
      <c r="A71" s="93">
        <v>32</v>
      </c>
      <c r="B71" s="93">
        <v>43.9</v>
      </c>
      <c r="C71" s="93">
        <v>43.9</v>
      </c>
      <c r="D71" s="93">
        <v>32</v>
      </c>
      <c r="E71" s="93">
        <v>43.9</v>
      </c>
      <c r="F71" s="93">
        <v>43.57</v>
      </c>
      <c r="G71" s="93">
        <v>32</v>
      </c>
      <c r="H71" s="93">
        <v>43.9</v>
      </c>
      <c r="I71" s="93">
        <v>43.9</v>
      </c>
      <c r="J71" s="93">
        <v>32</v>
      </c>
      <c r="K71" s="93">
        <v>44.8</v>
      </c>
      <c r="L71" s="93">
        <v>44.8</v>
      </c>
      <c r="M71" s="93">
        <v>32</v>
      </c>
      <c r="N71" s="93">
        <v>43.88</v>
      </c>
      <c r="O71" s="93">
        <v>43.88</v>
      </c>
      <c r="P71" s="93">
        <v>32</v>
      </c>
      <c r="Q71" s="93">
        <v>43.91</v>
      </c>
      <c r="R71" s="93">
        <v>43.91</v>
      </c>
      <c r="S71" s="93">
        <v>32</v>
      </c>
      <c r="T71" s="93">
        <v>43.9</v>
      </c>
      <c r="U71" s="93">
        <v>43.9</v>
      </c>
      <c r="V71" s="93">
        <v>32</v>
      </c>
      <c r="W71" s="93">
        <v>33.06</v>
      </c>
      <c r="X71" s="93">
        <v>33.06</v>
      </c>
      <c r="Y71" s="93">
        <v>32</v>
      </c>
      <c r="Z71" s="93">
        <v>43.9</v>
      </c>
      <c r="AA71" s="93">
        <v>43.9</v>
      </c>
      <c r="AB71" s="93">
        <v>32</v>
      </c>
      <c r="AC71" s="93">
        <v>43.78</v>
      </c>
      <c r="AD71" s="93">
        <v>43.78</v>
      </c>
      <c r="AE71" s="93">
        <v>32</v>
      </c>
      <c r="AF71" s="105">
        <v>43.9</v>
      </c>
      <c r="AG71" s="93">
        <v>43.58</v>
      </c>
    </row>
    <row r="72" spans="1:33">
      <c r="A72" s="93">
        <v>31</v>
      </c>
      <c r="B72" s="93">
        <v>43.57</v>
      </c>
      <c r="C72" s="93">
        <v>43.57</v>
      </c>
      <c r="D72" s="93">
        <v>31</v>
      </c>
      <c r="E72" s="93">
        <v>43.56</v>
      </c>
      <c r="F72" s="93">
        <v>43.32</v>
      </c>
      <c r="G72" s="93">
        <v>31</v>
      </c>
      <c r="H72" s="93">
        <v>43.57</v>
      </c>
      <c r="I72" s="93">
        <v>43.57</v>
      </c>
      <c r="J72" s="93">
        <v>31</v>
      </c>
      <c r="K72" s="93">
        <v>44.47</v>
      </c>
      <c r="L72" s="93">
        <v>44.47</v>
      </c>
      <c r="M72" s="93">
        <v>31</v>
      </c>
      <c r="N72" s="93">
        <v>43.55</v>
      </c>
      <c r="O72" s="93">
        <v>43.55</v>
      </c>
      <c r="P72" s="93">
        <v>31</v>
      </c>
      <c r="Q72" s="93">
        <v>43.56</v>
      </c>
      <c r="R72" s="93">
        <v>43.56</v>
      </c>
      <c r="S72" s="93">
        <v>31</v>
      </c>
      <c r="T72" s="93">
        <v>43.56</v>
      </c>
      <c r="U72" s="93">
        <v>43.56</v>
      </c>
      <c r="V72" s="93">
        <v>31</v>
      </c>
      <c r="W72" s="93">
        <v>32.799999999999997</v>
      </c>
      <c r="X72" s="93">
        <v>32.799999999999997</v>
      </c>
      <c r="Y72" s="93">
        <v>31</v>
      </c>
      <c r="Z72" s="93">
        <v>43.57</v>
      </c>
      <c r="AA72" s="93">
        <v>43.57</v>
      </c>
      <c r="AB72" s="93">
        <v>31</v>
      </c>
      <c r="AC72" s="93">
        <v>43.48</v>
      </c>
      <c r="AD72" s="93">
        <v>43.48</v>
      </c>
      <c r="AE72" s="93">
        <v>31</v>
      </c>
      <c r="AF72" s="105">
        <v>43.57</v>
      </c>
      <c r="AG72" s="93">
        <v>43.33</v>
      </c>
    </row>
    <row r="73" spans="1:33">
      <c r="A73" s="93">
        <v>30</v>
      </c>
      <c r="B73" s="93">
        <v>43.26</v>
      </c>
      <c r="C73" s="93">
        <v>43.26</v>
      </c>
      <c r="D73" s="93">
        <v>30</v>
      </c>
      <c r="E73" s="93">
        <v>43.25</v>
      </c>
      <c r="F73" s="93">
        <v>43.06</v>
      </c>
      <c r="G73" s="93">
        <v>30</v>
      </c>
      <c r="H73" s="93">
        <v>43.26</v>
      </c>
      <c r="I73" s="93">
        <v>43.26</v>
      </c>
      <c r="J73" s="93">
        <v>30</v>
      </c>
      <c r="K73" s="93">
        <v>44.16</v>
      </c>
      <c r="L73" s="93">
        <v>44.16</v>
      </c>
      <c r="M73" s="93">
        <v>30</v>
      </c>
      <c r="N73" s="93">
        <v>43.23</v>
      </c>
      <c r="O73" s="93">
        <v>43.23</v>
      </c>
      <c r="P73" s="93">
        <v>30</v>
      </c>
      <c r="Q73" s="93">
        <v>43.26</v>
      </c>
      <c r="R73" s="93">
        <v>43.26</v>
      </c>
      <c r="S73" s="93">
        <v>30</v>
      </c>
      <c r="T73" s="93">
        <v>43.25</v>
      </c>
      <c r="U73" s="93">
        <v>43.25</v>
      </c>
      <c r="V73" s="93">
        <v>30</v>
      </c>
      <c r="W73" s="93">
        <v>32.57</v>
      </c>
      <c r="X73" s="93">
        <v>32.57</v>
      </c>
      <c r="Y73" s="93">
        <v>30</v>
      </c>
      <c r="Z73" s="93">
        <v>43.26</v>
      </c>
      <c r="AA73" s="93">
        <v>43.26</v>
      </c>
      <c r="AB73" s="93">
        <v>30</v>
      </c>
      <c r="AC73" s="93">
        <v>43.16</v>
      </c>
      <c r="AD73" s="93">
        <v>43.16</v>
      </c>
      <c r="AE73" s="93">
        <v>30</v>
      </c>
      <c r="AF73" s="105">
        <v>43.26</v>
      </c>
      <c r="AG73" s="93">
        <v>43.06</v>
      </c>
    </row>
    <row r="74" spans="1:33">
      <c r="A74" s="93">
        <v>29</v>
      </c>
      <c r="B74" s="93">
        <v>42.97</v>
      </c>
      <c r="C74" s="93">
        <v>42.97</v>
      </c>
      <c r="D74" s="93">
        <v>29</v>
      </c>
      <c r="E74" s="93">
        <v>42.96</v>
      </c>
      <c r="F74" s="93">
        <v>42.85</v>
      </c>
      <c r="G74" s="93">
        <v>29</v>
      </c>
      <c r="H74" s="93">
        <v>42.97</v>
      </c>
      <c r="I74" s="93">
        <v>42.97</v>
      </c>
      <c r="J74" s="93">
        <v>29</v>
      </c>
      <c r="K74" s="93">
        <v>43.87</v>
      </c>
      <c r="L74" s="93">
        <v>43.87</v>
      </c>
      <c r="M74" s="93">
        <v>29</v>
      </c>
      <c r="N74" s="93">
        <v>42.95</v>
      </c>
      <c r="O74" s="93">
        <v>42.95</v>
      </c>
      <c r="P74" s="93">
        <v>29</v>
      </c>
      <c r="Q74" s="93">
        <v>42.97</v>
      </c>
      <c r="R74" s="93">
        <v>42.97</v>
      </c>
      <c r="S74" s="93">
        <v>29</v>
      </c>
      <c r="T74" s="93">
        <v>42.96</v>
      </c>
      <c r="U74" s="93">
        <v>42.96</v>
      </c>
      <c r="V74" s="93">
        <v>29</v>
      </c>
      <c r="W74" s="93">
        <v>32.35</v>
      </c>
      <c r="X74" s="93">
        <v>32.35</v>
      </c>
      <c r="Y74" s="93">
        <v>29</v>
      </c>
      <c r="Z74" s="93">
        <v>42.97</v>
      </c>
      <c r="AA74" s="93">
        <v>42.97</v>
      </c>
      <c r="AB74" s="93">
        <v>29</v>
      </c>
      <c r="AC74" s="93">
        <v>42.81</v>
      </c>
      <c r="AD74" s="93">
        <v>42.81</v>
      </c>
      <c r="AE74" s="93">
        <v>29</v>
      </c>
      <c r="AF74" s="105">
        <v>42.97</v>
      </c>
      <c r="AG74" s="93">
        <v>42.86</v>
      </c>
    </row>
    <row r="75" spans="1:33">
      <c r="A75" s="93">
        <v>28</v>
      </c>
      <c r="B75" s="93">
        <v>42.63</v>
      </c>
      <c r="C75" s="93">
        <v>42.63</v>
      </c>
      <c r="D75" s="93">
        <v>28</v>
      </c>
      <c r="E75" s="93">
        <v>42.63</v>
      </c>
      <c r="F75" s="93">
        <v>42.66</v>
      </c>
      <c r="G75" s="93">
        <v>28</v>
      </c>
      <c r="H75" s="93">
        <v>42.63</v>
      </c>
      <c r="I75" s="93">
        <v>42.63</v>
      </c>
      <c r="J75" s="93">
        <v>28</v>
      </c>
      <c r="K75" s="93">
        <v>43.53</v>
      </c>
      <c r="L75" s="93">
        <v>43.53</v>
      </c>
      <c r="M75" s="93">
        <v>28</v>
      </c>
      <c r="N75" s="93">
        <v>42.62</v>
      </c>
      <c r="O75" s="93">
        <v>42.62</v>
      </c>
      <c r="P75" s="93">
        <v>28</v>
      </c>
      <c r="Q75" s="93">
        <v>42.63</v>
      </c>
      <c r="R75" s="93">
        <v>42.63</v>
      </c>
      <c r="S75" s="93">
        <v>28</v>
      </c>
      <c r="T75" s="93">
        <v>42.63</v>
      </c>
      <c r="U75" s="93">
        <v>42.63</v>
      </c>
      <c r="V75" s="93">
        <v>28</v>
      </c>
      <c r="W75" s="93">
        <v>32.1</v>
      </c>
      <c r="X75" s="93">
        <v>32.1</v>
      </c>
      <c r="Y75" s="93">
        <v>28</v>
      </c>
      <c r="Z75" s="93">
        <v>42.63</v>
      </c>
      <c r="AA75" s="93">
        <v>42.63</v>
      </c>
      <c r="AB75" s="93">
        <v>28</v>
      </c>
      <c r="AC75" s="93">
        <v>42.46</v>
      </c>
      <c r="AD75" s="93">
        <v>42.46</v>
      </c>
      <c r="AE75" s="93">
        <v>28</v>
      </c>
      <c r="AF75" s="105">
        <v>42.63</v>
      </c>
      <c r="AG75" s="93">
        <v>42.67</v>
      </c>
    </row>
    <row r="76" spans="1:33">
      <c r="A76" s="93">
        <v>27</v>
      </c>
      <c r="B76" s="93">
        <v>42.28</v>
      </c>
      <c r="C76" s="93">
        <v>42.28</v>
      </c>
      <c r="D76" s="93">
        <v>27</v>
      </c>
      <c r="E76" s="93">
        <v>42.27</v>
      </c>
      <c r="F76" s="93">
        <v>42.48</v>
      </c>
      <c r="G76" s="93">
        <v>27</v>
      </c>
      <c r="H76" s="93">
        <v>42.28</v>
      </c>
      <c r="I76" s="93">
        <v>42.28</v>
      </c>
      <c r="J76" s="93">
        <v>27</v>
      </c>
      <c r="K76" s="93">
        <v>43.18</v>
      </c>
      <c r="L76" s="93">
        <v>43.18</v>
      </c>
      <c r="M76" s="93">
        <v>27</v>
      </c>
      <c r="N76" s="93">
        <v>42.27</v>
      </c>
      <c r="O76" s="93">
        <v>42.27</v>
      </c>
      <c r="P76" s="93">
        <v>27</v>
      </c>
      <c r="Q76" s="93">
        <v>42.27</v>
      </c>
      <c r="R76" s="93">
        <v>42.27</v>
      </c>
      <c r="S76" s="93">
        <v>27</v>
      </c>
      <c r="T76" s="93">
        <v>42.27</v>
      </c>
      <c r="U76" s="93">
        <v>42.27</v>
      </c>
      <c r="V76" s="93">
        <v>27</v>
      </c>
      <c r="W76" s="93">
        <v>31.83</v>
      </c>
      <c r="X76" s="93">
        <v>31.83</v>
      </c>
      <c r="Y76" s="93">
        <v>27</v>
      </c>
      <c r="Z76" s="93">
        <v>42.28</v>
      </c>
      <c r="AA76" s="93">
        <v>42.28</v>
      </c>
      <c r="AB76" s="93">
        <v>27</v>
      </c>
      <c r="AC76" s="93">
        <v>42.11</v>
      </c>
      <c r="AD76" s="93">
        <v>42.11</v>
      </c>
      <c r="AE76" s="93">
        <v>27</v>
      </c>
      <c r="AF76" s="105">
        <v>42.28</v>
      </c>
      <c r="AG76" s="93">
        <v>42.48</v>
      </c>
    </row>
    <row r="77" spans="1:33">
      <c r="A77" s="93">
        <v>26</v>
      </c>
      <c r="B77" s="93">
        <v>41.94</v>
      </c>
      <c r="C77" s="93">
        <v>41.94</v>
      </c>
      <c r="D77" s="93">
        <v>26</v>
      </c>
      <c r="E77" s="93">
        <v>41.93</v>
      </c>
      <c r="F77" s="93">
        <v>42.26</v>
      </c>
      <c r="G77" s="93">
        <v>26</v>
      </c>
      <c r="H77" s="93">
        <v>41.94</v>
      </c>
      <c r="I77" s="93">
        <v>41.94</v>
      </c>
      <c r="J77" s="93">
        <v>26</v>
      </c>
      <c r="K77" s="93">
        <v>42.84</v>
      </c>
      <c r="L77" s="93">
        <v>42.84</v>
      </c>
      <c r="M77" s="93">
        <v>26</v>
      </c>
      <c r="N77" s="93">
        <v>41.93</v>
      </c>
      <c r="O77" s="93">
        <v>41.93</v>
      </c>
      <c r="P77" s="93">
        <v>26</v>
      </c>
      <c r="Q77" s="93">
        <v>41.94</v>
      </c>
      <c r="R77" s="93">
        <v>41.94</v>
      </c>
      <c r="S77" s="93">
        <v>26</v>
      </c>
      <c r="T77" s="93">
        <v>41.93</v>
      </c>
      <c r="U77" s="93">
        <v>41.93</v>
      </c>
      <c r="V77" s="93">
        <v>26</v>
      </c>
      <c r="W77" s="93">
        <v>31.57</v>
      </c>
      <c r="X77" s="93">
        <v>31.57</v>
      </c>
      <c r="Y77" s="93">
        <v>26</v>
      </c>
      <c r="Z77" s="93">
        <v>41.94</v>
      </c>
      <c r="AA77" s="93">
        <v>41.94</v>
      </c>
      <c r="AB77" s="93">
        <v>26</v>
      </c>
      <c r="AC77" s="93">
        <v>41.76</v>
      </c>
      <c r="AD77" s="93">
        <v>41.76</v>
      </c>
      <c r="AE77" s="93">
        <v>26</v>
      </c>
      <c r="AF77" s="105">
        <v>41.94</v>
      </c>
      <c r="AG77" s="93">
        <v>42.27</v>
      </c>
    </row>
    <row r="78" spans="1:33">
      <c r="A78" s="93">
        <v>25</v>
      </c>
      <c r="B78" s="93">
        <v>41.59</v>
      </c>
      <c r="C78" s="93">
        <v>41.59</v>
      </c>
      <c r="D78" s="93">
        <v>25</v>
      </c>
      <c r="E78" s="93">
        <v>41.59</v>
      </c>
      <c r="F78" s="93">
        <v>42.06</v>
      </c>
      <c r="G78" s="93">
        <v>25</v>
      </c>
      <c r="H78" s="93">
        <v>41.59</v>
      </c>
      <c r="I78" s="93">
        <v>41.59</v>
      </c>
      <c r="J78" s="93">
        <v>25</v>
      </c>
      <c r="K78" s="93">
        <v>42.49</v>
      </c>
      <c r="L78" s="93">
        <v>42.49</v>
      </c>
      <c r="M78" s="93">
        <v>25</v>
      </c>
      <c r="N78" s="93">
        <v>41.59</v>
      </c>
      <c r="O78" s="93">
        <v>41.59</v>
      </c>
      <c r="P78" s="93">
        <v>25</v>
      </c>
      <c r="Q78" s="93">
        <v>41.59</v>
      </c>
      <c r="R78" s="93">
        <v>41.59</v>
      </c>
      <c r="S78" s="93">
        <v>25</v>
      </c>
      <c r="T78" s="93">
        <v>41.59</v>
      </c>
      <c r="U78" s="93">
        <v>41.59</v>
      </c>
      <c r="V78" s="93">
        <v>25</v>
      </c>
      <c r="W78" s="93">
        <v>31.32</v>
      </c>
      <c r="X78" s="93">
        <v>31.32</v>
      </c>
      <c r="Y78" s="93">
        <v>25</v>
      </c>
      <c r="Z78" s="93">
        <v>41.59</v>
      </c>
      <c r="AA78" s="93">
        <v>41.59</v>
      </c>
      <c r="AB78" s="93">
        <v>25</v>
      </c>
      <c r="AC78" s="93">
        <v>41.41</v>
      </c>
      <c r="AD78" s="93">
        <v>41.41</v>
      </c>
      <c r="AE78" s="93">
        <v>25</v>
      </c>
      <c r="AF78" s="105">
        <v>41.59</v>
      </c>
      <c r="AG78" s="93">
        <v>42.06</v>
      </c>
    </row>
    <row r="79" spans="1:33">
      <c r="A79" s="93">
        <v>24</v>
      </c>
      <c r="B79" s="93">
        <v>41.25</v>
      </c>
      <c r="C79" s="93">
        <v>41.25</v>
      </c>
      <c r="D79" s="93">
        <v>24</v>
      </c>
      <c r="E79" s="93">
        <v>41.24</v>
      </c>
      <c r="F79" s="93">
        <v>41.85</v>
      </c>
      <c r="G79" s="93">
        <v>24</v>
      </c>
      <c r="H79" s="93">
        <v>41.25</v>
      </c>
      <c r="I79" s="93">
        <v>41.25</v>
      </c>
      <c r="J79" s="93">
        <v>24</v>
      </c>
      <c r="K79" s="93">
        <v>42.15</v>
      </c>
      <c r="L79" s="93">
        <v>42.15</v>
      </c>
      <c r="M79" s="93">
        <v>24</v>
      </c>
      <c r="N79" s="93">
        <v>41.25</v>
      </c>
      <c r="O79" s="93">
        <v>41.25</v>
      </c>
      <c r="P79" s="93">
        <v>24</v>
      </c>
      <c r="Q79" s="93">
        <v>41.25</v>
      </c>
      <c r="R79" s="93">
        <v>41.25</v>
      </c>
      <c r="S79" s="93">
        <v>24</v>
      </c>
      <c r="T79" s="93">
        <v>41.24</v>
      </c>
      <c r="U79" s="93">
        <v>41.24</v>
      </c>
      <c r="V79" s="93">
        <v>24</v>
      </c>
      <c r="W79" s="93">
        <v>31.05</v>
      </c>
      <c r="X79" s="93">
        <v>31.05</v>
      </c>
      <c r="Y79" s="93">
        <v>24</v>
      </c>
      <c r="Z79" s="93">
        <v>41.25</v>
      </c>
      <c r="AA79" s="93">
        <v>41.25</v>
      </c>
      <c r="AB79" s="93">
        <v>24</v>
      </c>
      <c r="AC79" s="93">
        <v>41.1</v>
      </c>
      <c r="AD79" s="93">
        <v>41.1</v>
      </c>
      <c r="AE79" s="93">
        <v>24</v>
      </c>
      <c r="AF79" s="105">
        <v>41.25</v>
      </c>
      <c r="AG79" s="93">
        <v>41.86</v>
      </c>
    </row>
    <row r="80" spans="1:33">
      <c r="A80" s="93">
        <v>23</v>
      </c>
      <c r="B80" s="93">
        <v>40.9</v>
      </c>
      <c r="C80" s="93">
        <v>40.9</v>
      </c>
      <c r="D80" s="93">
        <v>23</v>
      </c>
      <c r="E80" s="93">
        <v>40.9</v>
      </c>
      <c r="F80" s="93">
        <v>41.66</v>
      </c>
      <c r="G80" s="93">
        <v>23</v>
      </c>
      <c r="H80" s="93">
        <v>40.9</v>
      </c>
      <c r="I80" s="93">
        <v>40.9</v>
      </c>
      <c r="J80" s="93">
        <v>23</v>
      </c>
      <c r="K80" s="93">
        <v>41.8</v>
      </c>
      <c r="L80" s="93">
        <v>41.8</v>
      </c>
      <c r="M80" s="93">
        <v>23</v>
      </c>
      <c r="N80" s="93">
        <v>40.89</v>
      </c>
      <c r="O80" s="93">
        <v>40.89</v>
      </c>
      <c r="P80" s="93">
        <v>23</v>
      </c>
      <c r="Q80" s="93">
        <v>40.909999999999997</v>
      </c>
      <c r="R80" s="93">
        <v>40.909999999999997</v>
      </c>
      <c r="S80" s="93">
        <v>23</v>
      </c>
      <c r="T80" s="93">
        <v>40.9</v>
      </c>
      <c r="U80" s="93">
        <v>40.9</v>
      </c>
      <c r="V80" s="93">
        <v>23</v>
      </c>
      <c r="W80" s="93">
        <v>30.8</v>
      </c>
      <c r="X80" s="93">
        <v>30.8</v>
      </c>
      <c r="Y80" s="93">
        <v>23</v>
      </c>
      <c r="Z80" s="93">
        <v>40.9</v>
      </c>
      <c r="AA80" s="93">
        <v>40.9</v>
      </c>
      <c r="AB80" s="93">
        <v>23</v>
      </c>
      <c r="AC80" s="93">
        <v>40.79</v>
      </c>
      <c r="AD80" s="93">
        <v>40.79</v>
      </c>
      <c r="AE80" s="93">
        <v>23</v>
      </c>
      <c r="AF80" s="105">
        <v>40.9</v>
      </c>
      <c r="AG80" s="93">
        <v>41.66</v>
      </c>
    </row>
    <row r="81" spans="1:33">
      <c r="A81" s="93">
        <v>22</v>
      </c>
      <c r="B81" s="93">
        <v>40.54</v>
      </c>
      <c r="C81" s="93">
        <v>40.54</v>
      </c>
      <c r="D81" s="93">
        <v>22</v>
      </c>
      <c r="E81" s="93">
        <v>40.54</v>
      </c>
      <c r="F81" s="93">
        <v>41.45</v>
      </c>
      <c r="G81" s="93">
        <v>22</v>
      </c>
      <c r="H81" s="93">
        <v>40.54</v>
      </c>
      <c r="I81" s="93">
        <v>40.54</v>
      </c>
      <c r="J81" s="93">
        <v>22</v>
      </c>
      <c r="K81" s="93">
        <v>41.44</v>
      </c>
      <c r="L81" s="93">
        <v>41.44</v>
      </c>
      <c r="M81" s="93">
        <v>22</v>
      </c>
      <c r="N81" s="93">
        <v>40.51</v>
      </c>
      <c r="O81" s="93">
        <v>40.51</v>
      </c>
      <c r="P81" s="93">
        <v>22</v>
      </c>
      <c r="Q81" s="93">
        <v>40.53</v>
      </c>
      <c r="R81" s="93">
        <v>40.53</v>
      </c>
      <c r="S81" s="93">
        <v>22</v>
      </c>
      <c r="T81" s="93">
        <v>40.54</v>
      </c>
      <c r="U81" s="93">
        <v>40.54</v>
      </c>
      <c r="V81" s="93">
        <v>22</v>
      </c>
      <c r="W81" s="93">
        <v>30.53</v>
      </c>
      <c r="X81" s="93">
        <v>30.53</v>
      </c>
      <c r="Y81" s="93">
        <v>22</v>
      </c>
      <c r="Z81" s="93">
        <v>40.54</v>
      </c>
      <c r="AA81" s="93">
        <v>40.54</v>
      </c>
      <c r="AB81" s="93">
        <v>22</v>
      </c>
      <c r="AC81" s="93">
        <v>40.47</v>
      </c>
      <c r="AD81" s="93">
        <v>40.47</v>
      </c>
      <c r="AE81" s="93">
        <v>22</v>
      </c>
      <c r="AF81" s="105">
        <v>40.54</v>
      </c>
      <c r="AG81" s="93">
        <v>41.45</v>
      </c>
    </row>
    <row r="82" spans="1:33">
      <c r="A82" s="93">
        <v>21</v>
      </c>
      <c r="B82" s="93">
        <v>40.18</v>
      </c>
      <c r="C82" s="93">
        <v>40.18</v>
      </c>
      <c r="D82" s="93">
        <v>21</v>
      </c>
      <c r="E82" s="93">
        <v>40.18</v>
      </c>
      <c r="F82" s="93">
        <v>41.21</v>
      </c>
      <c r="G82" s="93">
        <v>21</v>
      </c>
      <c r="H82" s="93">
        <v>40.18</v>
      </c>
      <c r="I82" s="93">
        <v>40.18</v>
      </c>
      <c r="J82" s="93">
        <v>21</v>
      </c>
      <c r="K82" s="93">
        <v>41.08</v>
      </c>
      <c r="L82" s="93">
        <v>41.08</v>
      </c>
      <c r="M82" s="93">
        <v>21</v>
      </c>
      <c r="N82" s="93">
        <v>40.159999999999997</v>
      </c>
      <c r="O82" s="93">
        <v>40.159999999999997</v>
      </c>
      <c r="P82" s="93">
        <v>21</v>
      </c>
      <c r="Q82" s="93">
        <v>40.19</v>
      </c>
      <c r="R82" s="93">
        <v>40.19</v>
      </c>
      <c r="S82" s="93">
        <v>21</v>
      </c>
      <c r="T82" s="93">
        <v>40.18</v>
      </c>
      <c r="U82" s="93">
        <v>40.18</v>
      </c>
      <c r="V82" s="93">
        <v>21</v>
      </c>
      <c r="W82" s="93">
        <v>30.26</v>
      </c>
      <c r="X82" s="93">
        <v>30.26</v>
      </c>
      <c r="Y82" s="93">
        <v>21</v>
      </c>
      <c r="Z82" s="93">
        <v>40.18</v>
      </c>
      <c r="AA82" s="93">
        <v>40.18</v>
      </c>
      <c r="AB82" s="93">
        <v>21</v>
      </c>
      <c r="AC82" s="93">
        <v>40.14</v>
      </c>
      <c r="AD82" s="93">
        <v>40.14</v>
      </c>
      <c r="AE82" s="93">
        <v>21</v>
      </c>
      <c r="AF82" s="105">
        <v>40.18</v>
      </c>
      <c r="AG82" s="93">
        <v>41.22</v>
      </c>
    </row>
    <row r="83" spans="1:33">
      <c r="A83" s="93">
        <v>20</v>
      </c>
      <c r="B83" s="93">
        <v>39.840000000000003</v>
      </c>
      <c r="C83" s="93">
        <v>39.840000000000003</v>
      </c>
      <c r="D83" s="93">
        <v>20</v>
      </c>
      <c r="E83" s="93">
        <v>39.840000000000003</v>
      </c>
      <c r="F83" s="93">
        <v>40.97</v>
      </c>
      <c r="G83" s="93">
        <v>20</v>
      </c>
      <c r="H83" s="93">
        <v>39.840000000000003</v>
      </c>
      <c r="I83" s="93">
        <v>39.840000000000003</v>
      </c>
      <c r="J83" s="93">
        <v>20</v>
      </c>
      <c r="K83" s="93">
        <v>40.74</v>
      </c>
      <c r="L83" s="93">
        <v>40.74</v>
      </c>
      <c r="M83" s="93">
        <v>20</v>
      </c>
      <c r="N83" s="93">
        <v>39.83</v>
      </c>
      <c r="O83" s="93">
        <v>39.83</v>
      </c>
      <c r="P83" s="93">
        <v>20</v>
      </c>
      <c r="Q83" s="93">
        <v>39.85</v>
      </c>
      <c r="R83" s="93">
        <v>39.85</v>
      </c>
      <c r="S83" s="93">
        <v>20</v>
      </c>
      <c r="T83" s="93">
        <v>39.840000000000003</v>
      </c>
      <c r="U83" s="93">
        <v>39.840000000000003</v>
      </c>
      <c r="V83" s="93">
        <v>20</v>
      </c>
      <c r="W83" s="93">
        <v>30</v>
      </c>
      <c r="X83" s="93">
        <v>30</v>
      </c>
      <c r="Y83" s="93">
        <v>20</v>
      </c>
      <c r="Z83" s="93">
        <v>39.840000000000003</v>
      </c>
      <c r="AA83" s="93">
        <v>39.840000000000003</v>
      </c>
      <c r="AB83" s="93">
        <v>20</v>
      </c>
      <c r="AC83" s="93">
        <v>39.799999999999997</v>
      </c>
      <c r="AD83" s="93">
        <v>39.799999999999997</v>
      </c>
      <c r="AE83" s="93">
        <v>20</v>
      </c>
      <c r="AF83" s="105">
        <v>39.840000000000003</v>
      </c>
      <c r="AG83" s="93">
        <v>40.97</v>
      </c>
    </row>
    <row r="84" spans="1:33">
      <c r="A84" s="93">
        <v>19</v>
      </c>
      <c r="B84" s="93">
        <v>39.49</v>
      </c>
      <c r="C84" s="93">
        <v>39.49</v>
      </c>
      <c r="D84" s="93">
        <v>19</v>
      </c>
      <c r="E84" s="93">
        <v>39.49</v>
      </c>
      <c r="F84" s="93">
        <v>40.74</v>
      </c>
      <c r="G84" s="93">
        <v>19</v>
      </c>
      <c r="H84" s="93">
        <v>39.49</v>
      </c>
      <c r="I84" s="93">
        <v>39.49</v>
      </c>
      <c r="J84" s="93">
        <v>19</v>
      </c>
      <c r="K84" s="93">
        <v>40.39</v>
      </c>
      <c r="L84" s="93">
        <v>40.39</v>
      </c>
      <c r="M84" s="93">
        <v>19</v>
      </c>
      <c r="N84" s="93">
        <v>39.479999999999997</v>
      </c>
      <c r="O84" s="93">
        <v>39.479999999999997</v>
      </c>
      <c r="P84" s="93">
        <v>19</v>
      </c>
      <c r="Q84" s="93">
        <v>39.479999999999997</v>
      </c>
      <c r="R84" s="93">
        <v>39.479999999999997</v>
      </c>
      <c r="S84" s="93">
        <v>19</v>
      </c>
      <c r="T84" s="93">
        <v>39.49</v>
      </c>
      <c r="U84" s="93">
        <v>39.49</v>
      </c>
      <c r="V84" s="93">
        <v>19</v>
      </c>
      <c r="W84" s="93">
        <v>29.74</v>
      </c>
      <c r="X84" s="93">
        <v>29.74</v>
      </c>
      <c r="Y84" s="93">
        <v>19</v>
      </c>
      <c r="Z84" s="93">
        <v>39.49</v>
      </c>
      <c r="AA84" s="93">
        <v>39.49</v>
      </c>
      <c r="AB84" s="93">
        <v>19</v>
      </c>
      <c r="AC84" s="93">
        <v>39.450000000000003</v>
      </c>
      <c r="AD84" s="93">
        <v>39.450000000000003</v>
      </c>
      <c r="AE84" s="93">
        <v>19</v>
      </c>
      <c r="AF84" s="105">
        <v>39.49</v>
      </c>
      <c r="AG84" s="93">
        <v>40.75</v>
      </c>
    </row>
    <row r="85" spans="1:33">
      <c r="A85" s="93">
        <v>18</v>
      </c>
      <c r="B85" s="93">
        <v>39.130000000000003</v>
      </c>
      <c r="C85" s="93">
        <v>39.130000000000003</v>
      </c>
      <c r="D85" s="93">
        <v>18</v>
      </c>
      <c r="E85" s="93">
        <v>39.130000000000003</v>
      </c>
      <c r="F85" s="93">
        <v>40.51</v>
      </c>
      <c r="G85" s="93">
        <v>18</v>
      </c>
      <c r="H85" s="93">
        <v>39.130000000000003</v>
      </c>
      <c r="I85" s="93">
        <v>39.130000000000003</v>
      </c>
      <c r="J85" s="93">
        <v>18</v>
      </c>
      <c r="K85" s="93">
        <v>40.03</v>
      </c>
      <c r="L85" s="93">
        <v>40.03</v>
      </c>
      <c r="M85" s="93">
        <v>18</v>
      </c>
      <c r="N85" s="93">
        <v>39.130000000000003</v>
      </c>
      <c r="O85" s="93">
        <v>39.130000000000003</v>
      </c>
      <c r="P85" s="93">
        <v>18</v>
      </c>
      <c r="Q85" s="93">
        <v>39.130000000000003</v>
      </c>
      <c r="R85" s="93">
        <v>39.130000000000003</v>
      </c>
      <c r="S85" s="93">
        <v>18</v>
      </c>
      <c r="T85" s="93">
        <v>39.130000000000003</v>
      </c>
      <c r="U85" s="93">
        <v>39.130000000000003</v>
      </c>
      <c r="V85" s="93">
        <v>18</v>
      </c>
      <c r="W85" s="93">
        <v>29.47</v>
      </c>
      <c r="X85" s="93">
        <v>29.47</v>
      </c>
      <c r="Y85" s="93">
        <v>18</v>
      </c>
      <c r="Z85" s="93">
        <v>39.130000000000003</v>
      </c>
      <c r="AA85" s="93">
        <v>39.130000000000003</v>
      </c>
      <c r="AB85" s="93">
        <v>18</v>
      </c>
      <c r="AC85" s="93">
        <v>39.090000000000003</v>
      </c>
      <c r="AD85" s="93">
        <v>39.090000000000003</v>
      </c>
      <c r="AE85" s="93">
        <v>18</v>
      </c>
      <c r="AF85" s="105">
        <v>39.130000000000003</v>
      </c>
      <c r="AG85" s="93">
        <v>40.51</v>
      </c>
    </row>
    <row r="86" spans="1:33">
      <c r="A86" s="93">
        <v>17</v>
      </c>
      <c r="B86" s="93">
        <v>38.76</v>
      </c>
      <c r="C86" s="93">
        <v>38.76</v>
      </c>
      <c r="D86" s="93">
        <v>17</v>
      </c>
      <c r="E86" s="93">
        <v>38.75</v>
      </c>
      <c r="F86" s="93">
        <v>40.29</v>
      </c>
      <c r="G86" s="93">
        <v>17</v>
      </c>
      <c r="H86" s="93">
        <v>38.76</v>
      </c>
      <c r="I86" s="93">
        <v>38.76</v>
      </c>
      <c r="J86" s="93">
        <v>17</v>
      </c>
      <c r="K86" s="93">
        <v>39.659999999999997</v>
      </c>
      <c r="L86" s="93">
        <v>39.659999999999997</v>
      </c>
      <c r="M86" s="93">
        <v>17</v>
      </c>
      <c r="N86" s="93">
        <v>38.76</v>
      </c>
      <c r="O86" s="93">
        <v>38.76</v>
      </c>
      <c r="P86" s="93">
        <v>17</v>
      </c>
      <c r="Q86" s="93">
        <v>38.770000000000003</v>
      </c>
      <c r="R86" s="93">
        <v>38.770000000000003</v>
      </c>
      <c r="S86" s="93">
        <v>17</v>
      </c>
      <c r="T86" s="93">
        <v>38.75</v>
      </c>
      <c r="U86" s="93">
        <v>38.75</v>
      </c>
      <c r="V86" s="93">
        <v>17</v>
      </c>
      <c r="W86" s="93">
        <v>29.18</v>
      </c>
      <c r="X86" s="93">
        <v>29.18</v>
      </c>
      <c r="Y86" s="93">
        <v>17</v>
      </c>
      <c r="Z86" s="93">
        <v>38.76</v>
      </c>
      <c r="AA86" s="93">
        <v>38.76</v>
      </c>
      <c r="AB86" s="93">
        <v>17</v>
      </c>
      <c r="AC86" s="93">
        <v>38.78</v>
      </c>
      <c r="AD86" s="93">
        <v>38.78</v>
      </c>
      <c r="AE86" s="93">
        <v>17</v>
      </c>
      <c r="AF86" s="105">
        <v>38.76</v>
      </c>
      <c r="AG86" s="93">
        <v>40.29</v>
      </c>
    </row>
    <row r="87" spans="1:33">
      <c r="A87" s="93">
        <v>16</v>
      </c>
      <c r="B87" s="93">
        <v>38.39</v>
      </c>
      <c r="C87" s="93">
        <v>38.39</v>
      </c>
      <c r="D87" s="93">
        <v>16</v>
      </c>
      <c r="E87" s="93">
        <v>38.39</v>
      </c>
      <c r="F87" s="93">
        <v>40.08</v>
      </c>
      <c r="G87" s="93">
        <v>16</v>
      </c>
      <c r="H87" s="93">
        <v>38.39</v>
      </c>
      <c r="I87" s="93">
        <v>38.39</v>
      </c>
      <c r="J87" s="93">
        <v>16</v>
      </c>
      <c r="K87" s="93">
        <v>39.29</v>
      </c>
      <c r="L87" s="93">
        <v>39.29</v>
      </c>
      <c r="M87" s="93">
        <v>16</v>
      </c>
      <c r="N87" s="93">
        <v>38.39</v>
      </c>
      <c r="O87" s="93">
        <v>38.39</v>
      </c>
      <c r="P87" s="93">
        <v>16</v>
      </c>
      <c r="Q87" s="93">
        <v>38.39</v>
      </c>
      <c r="R87" s="93">
        <v>38.39</v>
      </c>
      <c r="S87" s="93">
        <v>16</v>
      </c>
      <c r="T87" s="93">
        <v>38.39</v>
      </c>
      <c r="U87" s="93">
        <v>38.39</v>
      </c>
      <c r="V87" s="93">
        <v>16</v>
      </c>
      <c r="W87" s="93">
        <v>28.91</v>
      </c>
      <c r="X87" s="93">
        <v>28.91</v>
      </c>
      <c r="Y87" s="93">
        <v>16</v>
      </c>
      <c r="Z87" s="93">
        <v>38.39</v>
      </c>
      <c r="AA87" s="93">
        <v>38.39</v>
      </c>
      <c r="AB87" s="93">
        <v>16</v>
      </c>
      <c r="AC87" s="93">
        <v>38.47</v>
      </c>
      <c r="AD87" s="93">
        <v>38.47</v>
      </c>
      <c r="AE87" s="93">
        <v>16</v>
      </c>
      <c r="AF87" s="105">
        <v>38.39</v>
      </c>
      <c r="AG87" s="93">
        <v>40.08</v>
      </c>
    </row>
    <row r="88" spans="1:33">
      <c r="A88" s="93">
        <v>15</v>
      </c>
      <c r="B88" s="93">
        <v>38.04</v>
      </c>
      <c r="C88" s="93">
        <v>38.04</v>
      </c>
      <c r="D88" s="93">
        <v>15</v>
      </c>
      <c r="E88" s="93">
        <v>38.04</v>
      </c>
      <c r="F88" s="93">
        <v>39.880000000000003</v>
      </c>
      <c r="G88" s="93">
        <v>15</v>
      </c>
      <c r="H88" s="93">
        <v>38.04</v>
      </c>
      <c r="I88" s="93">
        <v>38.04</v>
      </c>
      <c r="J88" s="93">
        <v>15</v>
      </c>
      <c r="K88" s="93">
        <v>38.94</v>
      </c>
      <c r="L88" s="93">
        <v>38.94</v>
      </c>
      <c r="M88" s="93">
        <v>15</v>
      </c>
      <c r="N88" s="93">
        <v>38.04</v>
      </c>
      <c r="O88" s="93">
        <v>38.04</v>
      </c>
      <c r="P88" s="93">
        <v>15</v>
      </c>
      <c r="Q88" s="93">
        <v>38.03</v>
      </c>
      <c r="R88" s="93">
        <v>38.03</v>
      </c>
      <c r="S88" s="93">
        <v>15</v>
      </c>
      <c r="T88" s="93">
        <v>38.04</v>
      </c>
      <c r="U88" s="93">
        <v>38.04</v>
      </c>
      <c r="V88" s="93">
        <v>15</v>
      </c>
      <c r="W88" s="93">
        <v>28.64</v>
      </c>
      <c r="X88" s="93">
        <v>28.64</v>
      </c>
      <c r="Y88" s="93">
        <v>15</v>
      </c>
      <c r="Z88" s="93">
        <v>38.04</v>
      </c>
      <c r="AA88" s="93">
        <v>38.04</v>
      </c>
      <c r="AB88" s="93">
        <v>15</v>
      </c>
      <c r="AC88" s="93">
        <v>38.14</v>
      </c>
      <c r="AD88" s="93">
        <v>38.14</v>
      </c>
      <c r="AE88" s="93">
        <v>15</v>
      </c>
      <c r="AF88" s="105">
        <v>38.04</v>
      </c>
      <c r="AG88" s="93">
        <v>39.880000000000003</v>
      </c>
    </row>
    <row r="89" spans="1:33">
      <c r="A89" s="93">
        <v>14</v>
      </c>
      <c r="B89" s="93">
        <v>37.659999999999997</v>
      </c>
      <c r="C89" s="93">
        <v>37.659999999999997</v>
      </c>
      <c r="D89" s="93">
        <v>14</v>
      </c>
      <c r="E89" s="93">
        <v>37.65</v>
      </c>
      <c r="F89" s="93">
        <v>39.68</v>
      </c>
      <c r="G89" s="93">
        <v>14</v>
      </c>
      <c r="H89" s="93">
        <v>37.659999999999997</v>
      </c>
      <c r="I89" s="93">
        <v>37.659999999999997</v>
      </c>
      <c r="J89" s="93">
        <v>14</v>
      </c>
      <c r="K89" s="93">
        <v>38.56</v>
      </c>
      <c r="L89" s="93">
        <v>38.56</v>
      </c>
      <c r="M89" s="93">
        <v>14</v>
      </c>
      <c r="N89" s="93">
        <v>37.659999999999997</v>
      </c>
      <c r="O89" s="93">
        <v>37.659999999999997</v>
      </c>
      <c r="P89" s="93">
        <v>14</v>
      </c>
      <c r="Q89" s="93">
        <v>37.659999999999997</v>
      </c>
      <c r="R89" s="93">
        <v>37.659999999999997</v>
      </c>
      <c r="S89" s="93">
        <v>14</v>
      </c>
      <c r="T89" s="93">
        <v>37.65</v>
      </c>
      <c r="U89" s="93">
        <v>37.65</v>
      </c>
      <c r="V89" s="93">
        <v>14</v>
      </c>
      <c r="W89" s="93">
        <v>28.35</v>
      </c>
      <c r="X89" s="93">
        <v>28.35</v>
      </c>
      <c r="Y89" s="93">
        <v>14</v>
      </c>
      <c r="Z89" s="93">
        <v>37.659999999999997</v>
      </c>
      <c r="AA89" s="93">
        <v>37.659999999999997</v>
      </c>
      <c r="AB89" s="93">
        <v>14</v>
      </c>
      <c r="AC89" s="93">
        <v>37.840000000000003</v>
      </c>
      <c r="AD89" s="93">
        <v>37.840000000000003</v>
      </c>
      <c r="AE89" s="93">
        <v>14</v>
      </c>
      <c r="AF89" s="105">
        <v>37.659999999999997</v>
      </c>
      <c r="AG89" s="93">
        <v>39.68</v>
      </c>
    </row>
    <row r="90" spans="1:33">
      <c r="A90" s="93">
        <v>13</v>
      </c>
      <c r="B90" s="93">
        <v>37.28</v>
      </c>
      <c r="C90" s="93">
        <v>37.28</v>
      </c>
      <c r="D90" s="93">
        <v>13</v>
      </c>
      <c r="E90" s="93">
        <v>37.28</v>
      </c>
      <c r="F90" s="93">
        <v>39.479999999999997</v>
      </c>
      <c r="G90" s="93">
        <v>13</v>
      </c>
      <c r="H90" s="93">
        <v>37.28</v>
      </c>
      <c r="I90" s="93">
        <v>37.28</v>
      </c>
      <c r="J90" s="93">
        <v>13</v>
      </c>
      <c r="K90" s="93">
        <v>38.18</v>
      </c>
      <c r="L90" s="93">
        <v>38.18</v>
      </c>
      <c r="M90" s="93">
        <v>13</v>
      </c>
      <c r="N90" s="93">
        <v>37.28</v>
      </c>
      <c r="O90" s="93">
        <v>37.28</v>
      </c>
      <c r="P90" s="93">
        <v>13</v>
      </c>
      <c r="Q90" s="93">
        <v>37.299999999999997</v>
      </c>
      <c r="R90" s="93">
        <v>37.299999999999997</v>
      </c>
      <c r="S90" s="93">
        <v>13</v>
      </c>
      <c r="T90" s="93">
        <v>37.28</v>
      </c>
      <c r="U90" s="93">
        <v>37.28</v>
      </c>
      <c r="V90" s="93">
        <v>13</v>
      </c>
      <c r="W90" s="93">
        <v>28.07</v>
      </c>
      <c r="X90" s="93">
        <v>28.07</v>
      </c>
      <c r="Y90" s="93">
        <v>13</v>
      </c>
      <c r="Z90" s="93">
        <v>37.28</v>
      </c>
      <c r="AA90" s="93">
        <v>37.28</v>
      </c>
      <c r="AB90" s="93">
        <v>13</v>
      </c>
      <c r="AC90" s="93">
        <v>37.520000000000003</v>
      </c>
      <c r="AD90" s="93">
        <v>37.520000000000003</v>
      </c>
      <c r="AE90" s="93">
        <v>13</v>
      </c>
      <c r="AF90" s="105">
        <v>37.28</v>
      </c>
      <c r="AG90" s="93">
        <v>39.479999999999997</v>
      </c>
    </row>
    <row r="91" spans="1:33">
      <c r="A91" s="93">
        <v>12</v>
      </c>
      <c r="B91" s="93">
        <v>36.93</v>
      </c>
      <c r="C91" s="93">
        <v>36.93</v>
      </c>
      <c r="D91" s="93">
        <v>12</v>
      </c>
      <c r="E91" s="93">
        <v>36.92</v>
      </c>
      <c r="F91" s="93">
        <v>39.25</v>
      </c>
      <c r="G91" s="93">
        <v>12</v>
      </c>
      <c r="H91" s="93">
        <v>36.93</v>
      </c>
      <c r="I91" s="93">
        <v>36.93</v>
      </c>
      <c r="J91" s="93">
        <v>12</v>
      </c>
      <c r="K91" s="93">
        <v>37.82</v>
      </c>
      <c r="L91" s="93">
        <v>37.82</v>
      </c>
      <c r="M91" s="93">
        <v>12</v>
      </c>
      <c r="N91" s="93">
        <v>36.909999999999997</v>
      </c>
      <c r="O91" s="93">
        <v>36.909999999999997</v>
      </c>
      <c r="P91" s="93">
        <v>12</v>
      </c>
      <c r="Q91" s="93">
        <v>36.92</v>
      </c>
      <c r="R91" s="93">
        <v>36.92</v>
      </c>
      <c r="S91" s="93">
        <v>12</v>
      </c>
      <c r="T91" s="93">
        <v>36.92</v>
      </c>
      <c r="U91" s="93">
        <v>36.92</v>
      </c>
      <c r="V91" s="93">
        <v>12</v>
      </c>
      <c r="W91" s="93">
        <v>27.8</v>
      </c>
      <c r="X91" s="93">
        <v>27.8</v>
      </c>
      <c r="Y91" s="93">
        <v>12</v>
      </c>
      <c r="Z91" s="93">
        <v>36.93</v>
      </c>
      <c r="AA91" s="93">
        <v>36.93</v>
      </c>
      <c r="AB91" s="93">
        <v>12</v>
      </c>
      <c r="AC91" s="93">
        <v>37.18</v>
      </c>
      <c r="AD91" s="93">
        <v>37.18</v>
      </c>
      <c r="AE91" s="93">
        <v>12</v>
      </c>
      <c r="AF91" s="105">
        <v>36.93</v>
      </c>
      <c r="AG91" s="93">
        <v>39.25</v>
      </c>
    </row>
    <row r="92" spans="1:33">
      <c r="A92" s="93">
        <v>11</v>
      </c>
      <c r="B92" s="93">
        <v>36.590000000000003</v>
      </c>
      <c r="C92" s="93">
        <v>36.590000000000003</v>
      </c>
      <c r="D92" s="93">
        <v>11</v>
      </c>
      <c r="E92" s="93">
        <v>36.590000000000003</v>
      </c>
      <c r="F92" s="93">
        <v>39</v>
      </c>
      <c r="G92" s="93">
        <v>11</v>
      </c>
      <c r="H92" s="93">
        <v>36.590000000000003</v>
      </c>
      <c r="I92" s="93">
        <v>36.590000000000003</v>
      </c>
      <c r="J92" s="93">
        <v>11</v>
      </c>
      <c r="K92" s="93">
        <v>37.49</v>
      </c>
      <c r="L92" s="93">
        <v>37.49</v>
      </c>
      <c r="M92" s="93">
        <v>11</v>
      </c>
      <c r="N92" s="93">
        <v>36.549999999999997</v>
      </c>
      <c r="O92" s="93">
        <v>36.549999999999997</v>
      </c>
      <c r="P92" s="93">
        <v>11</v>
      </c>
      <c r="Q92" s="93">
        <v>36.58</v>
      </c>
      <c r="R92" s="93">
        <v>36.58</v>
      </c>
      <c r="S92" s="93">
        <v>11</v>
      </c>
      <c r="T92" s="93">
        <v>36.590000000000003</v>
      </c>
      <c r="U92" s="93">
        <v>36.590000000000003</v>
      </c>
      <c r="V92" s="93">
        <v>11</v>
      </c>
      <c r="W92" s="93">
        <v>27.55</v>
      </c>
      <c r="X92" s="93">
        <v>27.55</v>
      </c>
      <c r="Y92" s="93">
        <v>11</v>
      </c>
      <c r="Z92" s="93">
        <v>36.590000000000003</v>
      </c>
      <c r="AA92" s="93">
        <v>36.590000000000003</v>
      </c>
      <c r="AB92" s="93">
        <v>11</v>
      </c>
      <c r="AC92" s="93">
        <v>36.799999999999997</v>
      </c>
      <c r="AD92" s="93">
        <v>36.799999999999997</v>
      </c>
      <c r="AE92" s="93">
        <v>11</v>
      </c>
      <c r="AF92" s="105">
        <v>36.590000000000003</v>
      </c>
      <c r="AG92" s="93">
        <v>39.01</v>
      </c>
    </row>
    <row r="93" spans="1:33">
      <c r="A93" s="93">
        <v>10</v>
      </c>
      <c r="B93" s="93">
        <v>36.17</v>
      </c>
      <c r="C93" s="93">
        <v>36.17</v>
      </c>
      <c r="D93" s="93">
        <v>10</v>
      </c>
      <c r="E93" s="93">
        <v>36.159999999999997</v>
      </c>
      <c r="F93" s="93">
        <v>38.76</v>
      </c>
      <c r="G93" s="93">
        <v>10</v>
      </c>
      <c r="H93" s="93">
        <v>36.17</v>
      </c>
      <c r="I93" s="93">
        <v>36.17</v>
      </c>
      <c r="J93" s="93">
        <v>10</v>
      </c>
      <c r="K93" s="93">
        <v>37.07</v>
      </c>
      <c r="L93" s="93">
        <v>37.07</v>
      </c>
      <c r="M93" s="93">
        <v>10</v>
      </c>
      <c r="N93" s="93">
        <v>36.119999999999997</v>
      </c>
      <c r="O93" s="93">
        <v>36.119999999999997</v>
      </c>
      <c r="P93" s="93">
        <v>10</v>
      </c>
      <c r="Q93" s="93">
        <v>36.18</v>
      </c>
      <c r="R93" s="93">
        <v>36.18</v>
      </c>
      <c r="S93" s="93">
        <v>10</v>
      </c>
      <c r="T93" s="93">
        <v>36.159999999999997</v>
      </c>
      <c r="U93" s="93">
        <v>36.159999999999997</v>
      </c>
      <c r="V93" s="93">
        <v>10</v>
      </c>
      <c r="W93" s="93">
        <v>27.23</v>
      </c>
      <c r="X93" s="93">
        <v>27.23</v>
      </c>
      <c r="Y93" s="93">
        <v>10</v>
      </c>
      <c r="Z93" s="93">
        <v>36.17</v>
      </c>
      <c r="AA93" s="93">
        <v>36.17</v>
      </c>
      <c r="AB93" s="93">
        <v>10</v>
      </c>
      <c r="AC93" s="93">
        <v>36.43</v>
      </c>
      <c r="AD93" s="93">
        <v>36.43</v>
      </c>
      <c r="AE93" s="93">
        <v>10</v>
      </c>
      <c r="AF93" s="105">
        <v>36.17</v>
      </c>
      <c r="AG93" s="93">
        <v>38.76</v>
      </c>
    </row>
    <row r="94" spans="1:33">
      <c r="A94" s="93">
        <v>9</v>
      </c>
      <c r="B94" s="93">
        <v>35.799999999999997</v>
      </c>
      <c r="C94" s="93">
        <v>35.799999999999997</v>
      </c>
      <c r="D94" s="93">
        <v>9</v>
      </c>
      <c r="E94" s="93">
        <v>35.799999999999997</v>
      </c>
      <c r="F94" s="93">
        <v>38.51</v>
      </c>
      <c r="G94" s="93">
        <v>9</v>
      </c>
      <c r="H94" s="93">
        <v>35.799999999999997</v>
      </c>
      <c r="I94" s="93">
        <v>35.799999999999997</v>
      </c>
      <c r="J94" s="93">
        <v>9</v>
      </c>
      <c r="K94" s="93">
        <v>36.700000000000003</v>
      </c>
      <c r="L94" s="93">
        <v>36.700000000000003</v>
      </c>
      <c r="M94" s="93">
        <v>9</v>
      </c>
      <c r="N94" s="93">
        <v>35.75</v>
      </c>
      <c r="O94" s="93">
        <v>35.75</v>
      </c>
      <c r="P94" s="93">
        <v>9</v>
      </c>
      <c r="Q94" s="93">
        <v>35.799999999999997</v>
      </c>
      <c r="R94" s="93">
        <v>35.799999999999997</v>
      </c>
      <c r="S94" s="93">
        <v>9</v>
      </c>
      <c r="T94" s="93">
        <v>35.799999999999997</v>
      </c>
      <c r="U94" s="93">
        <v>35.799999999999997</v>
      </c>
      <c r="V94" s="93">
        <v>9</v>
      </c>
      <c r="W94" s="93">
        <v>26.96</v>
      </c>
      <c r="X94" s="93">
        <v>26.96</v>
      </c>
      <c r="Y94" s="93">
        <v>9</v>
      </c>
      <c r="Z94" s="93">
        <v>35.799999999999997</v>
      </c>
      <c r="AA94" s="93">
        <v>35.799999999999997</v>
      </c>
      <c r="AB94" s="93">
        <v>9</v>
      </c>
      <c r="AC94" s="93">
        <v>36.090000000000003</v>
      </c>
      <c r="AD94" s="93">
        <v>36.090000000000003</v>
      </c>
      <c r="AE94" s="93">
        <v>9</v>
      </c>
      <c r="AF94" s="105">
        <v>35.799999999999997</v>
      </c>
      <c r="AG94" s="93">
        <v>38.51</v>
      </c>
    </row>
    <row r="95" spans="1:33">
      <c r="A95" s="93">
        <v>8</v>
      </c>
      <c r="B95" s="93">
        <v>35.43</v>
      </c>
      <c r="C95" s="93">
        <v>35.43</v>
      </c>
      <c r="D95" s="93">
        <v>8</v>
      </c>
      <c r="E95" s="93">
        <v>35.43</v>
      </c>
      <c r="F95" s="93">
        <v>38.24</v>
      </c>
      <c r="G95" s="93">
        <v>8</v>
      </c>
      <c r="H95" s="93">
        <v>35.43</v>
      </c>
      <c r="I95" s="93">
        <v>35.43</v>
      </c>
      <c r="J95" s="93">
        <v>8</v>
      </c>
      <c r="K95" s="93">
        <v>36.33</v>
      </c>
      <c r="L95" s="93">
        <v>36.33</v>
      </c>
      <c r="M95" s="93">
        <v>8</v>
      </c>
      <c r="N95" s="93">
        <v>35.380000000000003</v>
      </c>
      <c r="O95" s="93">
        <v>35.380000000000003</v>
      </c>
      <c r="P95" s="93">
        <v>8</v>
      </c>
      <c r="Q95" s="93">
        <v>35.42</v>
      </c>
      <c r="R95" s="93">
        <v>35.42</v>
      </c>
      <c r="S95" s="93">
        <v>8</v>
      </c>
      <c r="T95" s="93">
        <v>35.43</v>
      </c>
      <c r="U95" s="93">
        <v>35.43</v>
      </c>
      <c r="V95" s="93">
        <v>8</v>
      </c>
      <c r="W95" s="93">
        <v>26.68</v>
      </c>
      <c r="X95" s="93">
        <v>26.68</v>
      </c>
      <c r="Y95" s="93">
        <v>8</v>
      </c>
      <c r="Z95" s="93">
        <v>35.43</v>
      </c>
      <c r="AA95" s="93">
        <v>35.43</v>
      </c>
      <c r="AB95" s="93">
        <v>8</v>
      </c>
      <c r="AC95" s="93">
        <v>35.75</v>
      </c>
      <c r="AD95" s="93">
        <v>35.75</v>
      </c>
      <c r="AE95" s="93">
        <v>8</v>
      </c>
      <c r="AF95" s="105">
        <v>35.43</v>
      </c>
      <c r="AG95" s="93">
        <v>38.25</v>
      </c>
    </row>
    <row r="96" spans="1:33">
      <c r="A96" s="93">
        <v>7</v>
      </c>
      <c r="B96" s="93">
        <v>34.979999999999997</v>
      </c>
      <c r="C96" s="93">
        <v>34.979999999999997</v>
      </c>
      <c r="D96" s="93">
        <v>7</v>
      </c>
      <c r="E96" s="93">
        <v>34.97</v>
      </c>
      <c r="F96" s="93">
        <v>37.97</v>
      </c>
      <c r="G96" s="93">
        <v>7</v>
      </c>
      <c r="H96" s="93">
        <v>34.979999999999997</v>
      </c>
      <c r="I96" s="93">
        <v>34.979999999999997</v>
      </c>
      <c r="J96" s="93">
        <v>7</v>
      </c>
      <c r="K96" s="93">
        <v>35.880000000000003</v>
      </c>
      <c r="L96" s="93">
        <v>35.880000000000003</v>
      </c>
      <c r="M96" s="93">
        <v>7</v>
      </c>
      <c r="N96" s="93">
        <v>34.93</v>
      </c>
      <c r="O96" s="93">
        <v>34.93</v>
      </c>
      <c r="P96" s="93">
        <v>7</v>
      </c>
      <c r="Q96" s="93">
        <v>34.97</v>
      </c>
      <c r="R96" s="93">
        <v>34.97</v>
      </c>
      <c r="S96" s="93">
        <v>7</v>
      </c>
      <c r="T96" s="93">
        <v>34.97</v>
      </c>
      <c r="U96" s="93">
        <v>34.97</v>
      </c>
      <c r="V96" s="93">
        <v>7</v>
      </c>
      <c r="W96" s="93">
        <v>26.33</v>
      </c>
      <c r="X96" s="93">
        <v>26.33</v>
      </c>
      <c r="Y96" s="93">
        <v>7</v>
      </c>
      <c r="Z96" s="93">
        <v>34.979999999999997</v>
      </c>
      <c r="AA96" s="93">
        <v>34.979999999999997</v>
      </c>
      <c r="AB96" s="93">
        <v>7</v>
      </c>
      <c r="AC96" s="93">
        <v>35.39</v>
      </c>
      <c r="AD96" s="93">
        <v>35.39</v>
      </c>
      <c r="AE96" s="93">
        <v>7</v>
      </c>
      <c r="AF96" s="105">
        <v>34.979999999999997</v>
      </c>
      <c r="AG96" s="93">
        <v>37.97</v>
      </c>
    </row>
    <row r="97" spans="1:33">
      <c r="A97" s="93">
        <v>6</v>
      </c>
      <c r="B97" s="93">
        <v>34.47</v>
      </c>
      <c r="C97" s="93">
        <v>34.47</v>
      </c>
      <c r="D97" s="93">
        <v>6</v>
      </c>
      <c r="E97" s="93">
        <v>34.46</v>
      </c>
      <c r="F97" s="93">
        <v>37.67</v>
      </c>
      <c r="G97" s="93">
        <v>6</v>
      </c>
      <c r="H97" s="93">
        <v>34.47</v>
      </c>
      <c r="I97" s="93">
        <v>34.47</v>
      </c>
      <c r="J97" s="93">
        <v>6</v>
      </c>
      <c r="K97" s="93">
        <v>35.369999999999997</v>
      </c>
      <c r="L97" s="93">
        <v>35.369999999999997</v>
      </c>
      <c r="M97" s="93">
        <v>6</v>
      </c>
      <c r="N97" s="93">
        <v>34.43</v>
      </c>
      <c r="O97" s="93">
        <v>34.43</v>
      </c>
      <c r="P97" s="93">
        <v>6</v>
      </c>
      <c r="Q97" s="93">
        <v>34.47</v>
      </c>
      <c r="R97" s="93">
        <v>34.47</v>
      </c>
      <c r="S97" s="93">
        <v>6</v>
      </c>
      <c r="T97" s="93">
        <v>34.46</v>
      </c>
      <c r="U97" s="93">
        <v>34.46</v>
      </c>
      <c r="V97" s="93">
        <v>6</v>
      </c>
      <c r="W97" s="93">
        <v>25.95</v>
      </c>
      <c r="X97" s="93">
        <v>25.95</v>
      </c>
      <c r="Y97" s="93">
        <v>6</v>
      </c>
      <c r="Z97" s="93">
        <v>34.47</v>
      </c>
      <c r="AA97" s="93">
        <v>34.47</v>
      </c>
      <c r="AB97" s="93">
        <v>6</v>
      </c>
      <c r="AC97" s="93">
        <v>34.869999999999997</v>
      </c>
      <c r="AD97" s="93">
        <v>34.869999999999997</v>
      </c>
      <c r="AE97" s="93">
        <v>6</v>
      </c>
      <c r="AF97" s="105">
        <v>34.47</v>
      </c>
      <c r="AG97" s="93">
        <v>37.68</v>
      </c>
    </row>
    <row r="98" spans="1:33">
      <c r="A98" s="93">
        <v>5</v>
      </c>
      <c r="B98" s="93">
        <v>33.93</v>
      </c>
      <c r="C98" s="93">
        <v>33.93</v>
      </c>
      <c r="D98" s="93">
        <v>5</v>
      </c>
      <c r="E98" s="93">
        <v>33.93</v>
      </c>
      <c r="F98" s="93">
        <v>37.31</v>
      </c>
      <c r="G98" s="93">
        <v>5</v>
      </c>
      <c r="H98" s="93">
        <v>33.93</v>
      </c>
      <c r="I98" s="93">
        <v>33.93</v>
      </c>
      <c r="J98" s="93">
        <v>5</v>
      </c>
      <c r="K98" s="93">
        <v>34.83</v>
      </c>
      <c r="L98" s="93">
        <v>34.83</v>
      </c>
      <c r="M98" s="93">
        <v>5</v>
      </c>
      <c r="N98" s="93">
        <v>33.869999999999997</v>
      </c>
      <c r="O98" s="93">
        <v>33.869999999999997</v>
      </c>
      <c r="P98" s="93">
        <v>5</v>
      </c>
      <c r="Q98" s="93">
        <v>33.93</v>
      </c>
      <c r="R98" s="93">
        <v>33.93</v>
      </c>
      <c r="S98" s="93">
        <v>5</v>
      </c>
      <c r="T98" s="93">
        <v>33.93</v>
      </c>
      <c r="U98" s="93">
        <v>33.93</v>
      </c>
      <c r="V98" s="93">
        <v>5</v>
      </c>
      <c r="W98" s="93">
        <v>25.55</v>
      </c>
      <c r="X98" s="93">
        <v>25.55</v>
      </c>
      <c r="Y98" s="93">
        <v>5</v>
      </c>
      <c r="Z98" s="93">
        <v>33.93</v>
      </c>
      <c r="AA98" s="93">
        <v>33.93</v>
      </c>
      <c r="AB98" s="93">
        <v>5</v>
      </c>
      <c r="AC98" s="93">
        <v>34.409999999999997</v>
      </c>
      <c r="AD98" s="93">
        <v>34.409999999999997</v>
      </c>
      <c r="AE98" s="93">
        <v>5</v>
      </c>
      <c r="AF98" s="105">
        <v>33.93</v>
      </c>
      <c r="AG98" s="93">
        <v>37.31</v>
      </c>
    </row>
    <row r="99" spans="1:33">
      <c r="A99" s="93">
        <v>4</v>
      </c>
      <c r="B99" s="93">
        <v>33.35</v>
      </c>
      <c r="C99" s="93">
        <v>33.35</v>
      </c>
      <c r="D99" s="93">
        <v>4</v>
      </c>
      <c r="E99" s="93">
        <v>33.35</v>
      </c>
      <c r="F99" s="93">
        <v>36.9</v>
      </c>
      <c r="G99" s="93">
        <v>4</v>
      </c>
      <c r="H99" s="93">
        <v>33.35</v>
      </c>
      <c r="I99" s="93">
        <v>33.35</v>
      </c>
      <c r="J99" s="93">
        <v>4</v>
      </c>
      <c r="K99" s="93">
        <v>34.25</v>
      </c>
      <c r="L99" s="93">
        <v>34.25</v>
      </c>
      <c r="M99" s="93">
        <v>4</v>
      </c>
      <c r="N99" s="93">
        <v>33.200000000000003</v>
      </c>
      <c r="O99" s="93">
        <v>33.200000000000003</v>
      </c>
      <c r="P99" s="93">
        <v>4</v>
      </c>
      <c r="Q99" s="93">
        <v>33.35</v>
      </c>
      <c r="R99" s="93">
        <v>33.35</v>
      </c>
      <c r="S99" s="93">
        <v>4</v>
      </c>
      <c r="T99" s="93">
        <v>33.35</v>
      </c>
      <c r="U99" s="93">
        <v>33.35</v>
      </c>
      <c r="V99" s="93">
        <v>4</v>
      </c>
      <c r="W99" s="93">
        <v>25.11</v>
      </c>
      <c r="X99" s="93">
        <v>25.11</v>
      </c>
      <c r="Y99" s="93">
        <v>4</v>
      </c>
      <c r="Z99" s="93">
        <v>33.35</v>
      </c>
      <c r="AA99" s="93">
        <v>33.35</v>
      </c>
      <c r="AB99" s="93">
        <v>4</v>
      </c>
      <c r="AC99" s="93">
        <v>33.909999999999997</v>
      </c>
      <c r="AD99" s="93">
        <v>33.909999999999997</v>
      </c>
      <c r="AE99" s="93">
        <v>4</v>
      </c>
      <c r="AF99" s="105">
        <v>33.35</v>
      </c>
      <c r="AG99" s="93">
        <v>36.909999999999997</v>
      </c>
    </row>
    <row r="100" spans="1:33">
      <c r="A100" s="93">
        <v>3</v>
      </c>
      <c r="B100" s="93">
        <v>32.450000000000003</v>
      </c>
      <c r="C100" s="93">
        <v>32.450000000000003</v>
      </c>
      <c r="D100" s="93">
        <v>3</v>
      </c>
      <c r="E100" s="93">
        <v>32.450000000000003</v>
      </c>
      <c r="F100" s="93">
        <v>36.4</v>
      </c>
      <c r="G100" s="93">
        <v>3</v>
      </c>
      <c r="H100" s="93">
        <v>32.450000000000003</v>
      </c>
      <c r="I100" s="93">
        <v>32.450000000000003</v>
      </c>
      <c r="J100" s="93">
        <v>3</v>
      </c>
      <c r="K100" s="93">
        <v>33.35</v>
      </c>
      <c r="L100" s="93">
        <v>33.35</v>
      </c>
      <c r="M100" s="93">
        <v>3</v>
      </c>
      <c r="N100" s="93">
        <v>32.4</v>
      </c>
      <c r="O100" s="93">
        <v>32.4</v>
      </c>
      <c r="P100" s="93">
        <v>3</v>
      </c>
      <c r="Q100" s="93">
        <v>32.450000000000003</v>
      </c>
      <c r="R100" s="93">
        <v>32.450000000000003</v>
      </c>
      <c r="S100" s="93">
        <v>3</v>
      </c>
      <c r="T100" s="93">
        <v>32.450000000000003</v>
      </c>
      <c r="U100" s="93">
        <v>32.450000000000003</v>
      </c>
      <c r="V100" s="93">
        <v>3</v>
      </c>
      <c r="W100" s="93">
        <v>24.44</v>
      </c>
      <c r="X100" s="93">
        <v>24.44</v>
      </c>
      <c r="Y100" s="93">
        <v>3</v>
      </c>
      <c r="Z100" s="93">
        <v>32.450000000000003</v>
      </c>
      <c r="AA100" s="93">
        <v>32.450000000000003</v>
      </c>
      <c r="AB100" s="93">
        <v>3</v>
      </c>
      <c r="AC100" s="93">
        <v>33.18</v>
      </c>
      <c r="AD100" s="93">
        <v>33.18</v>
      </c>
      <c r="AE100" s="93">
        <v>3</v>
      </c>
      <c r="AF100" s="105">
        <v>32.450000000000003</v>
      </c>
      <c r="AG100" s="93">
        <v>36.409999999999997</v>
      </c>
    </row>
    <row r="101" spans="1:33">
      <c r="A101" s="93">
        <v>2</v>
      </c>
      <c r="B101" s="93">
        <v>31.6</v>
      </c>
      <c r="C101" s="93">
        <v>31.6</v>
      </c>
      <c r="D101" s="93">
        <v>2</v>
      </c>
      <c r="E101" s="93">
        <v>31.6</v>
      </c>
      <c r="F101" s="93">
        <v>35.83</v>
      </c>
      <c r="G101" s="93">
        <v>2</v>
      </c>
      <c r="H101" s="93">
        <v>31.6</v>
      </c>
      <c r="I101" s="93">
        <v>31.6</v>
      </c>
      <c r="J101" s="93">
        <v>2</v>
      </c>
      <c r="K101" s="93">
        <v>32.5</v>
      </c>
      <c r="L101" s="93">
        <v>32.5</v>
      </c>
      <c r="M101" s="93">
        <v>2</v>
      </c>
      <c r="N101" s="93">
        <v>31.6</v>
      </c>
      <c r="O101" s="93">
        <v>31.6</v>
      </c>
      <c r="P101" s="93">
        <v>2</v>
      </c>
      <c r="Q101" s="93">
        <v>31.6</v>
      </c>
      <c r="R101" s="93">
        <v>31.6</v>
      </c>
      <c r="S101" s="93">
        <v>2</v>
      </c>
      <c r="T101" s="93">
        <v>31.6</v>
      </c>
      <c r="U101" s="93">
        <v>31.6</v>
      </c>
      <c r="V101" s="93">
        <v>2</v>
      </c>
      <c r="W101" s="93">
        <v>23.8</v>
      </c>
      <c r="X101" s="93">
        <v>23.8</v>
      </c>
      <c r="Y101" s="93">
        <v>2</v>
      </c>
      <c r="Z101" s="93">
        <v>31.6</v>
      </c>
      <c r="AA101" s="93">
        <v>31.6</v>
      </c>
      <c r="AB101" s="93">
        <v>2</v>
      </c>
      <c r="AC101" s="93">
        <v>32.31</v>
      </c>
      <c r="AD101" s="93">
        <v>32.31</v>
      </c>
      <c r="AE101" s="93">
        <v>2</v>
      </c>
      <c r="AF101" s="105">
        <v>31.6</v>
      </c>
      <c r="AG101" s="93">
        <v>35.83</v>
      </c>
    </row>
    <row r="102" spans="1:33">
      <c r="A102" s="93">
        <v>1</v>
      </c>
      <c r="B102" s="93">
        <v>30.68</v>
      </c>
      <c r="C102" s="93">
        <v>30.68</v>
      </c>
      <c r="D102" s="93">
        <v>1</v>
      </c>
      <c r="E102" s="93">
        <v>30.5</v>
      </c>
      <c r="F102" s="93">
        <v>34.94</v>
      </c>
      <c r="G102" s="93">
        <v>1</v>
      </c>
      <c r="H102" s="93">
        <v>30.5</v>
      </c>
      <c r="I102" s="93">
        <v>30.5</v>
      </c>
      <c r="J102" s="93">
        <v>1</v>
      </c>
      <c r="K102" s="93">
        <v>31.4</v>
      </c>
      <c r="L102" s="93">
        <v>31.4</v>
      </c>
      <c r="M102" s="93">
        <v>1</v>
      </c>
      <c r="N102" s="93">
        <v>30.5</v>
      </c>
      <c r="O102" s="93">
        <v>30.5</v>
      </c>
      <c r="P102" s="93">
        <v>1</v>
      </c>
      <c r="Q102" s="93">
        <v>30.5</v>
      </c>
      <c r="R102" s="93">
        <v>30.5</v>
      </c>
      <c r="S102" s="93">
        <v>1</v>
      </c>
      <c r="T102" s="93">
        <v>30.5</v>
      </c>
      <c r="U102" s="93">
        <v>30.5</v>
      </c>
      <c r="V102" s="93">
        <v>1</v>
      </c>
      <c r="W102" s="93">
        <v>22.97</v>
      </c>
      <c r="X102" s="93">
        <v>22.97</v>
      </c>
      <c r="Y102" s="93">
        <v>1</v>
      </c>
      <c r="Z102" s="93">
        <v>30.5</v>
      </c>
      <c r="AA102" s="93">
        <v>30.5</v>
      </c>
      <c r="AB102" s="93">
        <v>1</v>
      </c>
      <c r="AC102" s="93">
        <v>31.25</v>
      </c>
      <c r="AD102" s="93">
        <v>31.25</v>
      </c>
      <c r="AE102" s="93">
        <v>1</v>
      </c>
      <c r="AF102" s="105">
        <v>30.5</v>
      </c>
      <c r="AG102" s="93">
        <v>34.94</v>
      </c>
    </row>
    <row r="103" spans="1:33">
      <c r="A103" s="93">
        <v>0</v>
      </c>
      <c r="B103" s="93">
        <v>28.9</v>
      </c>
      <c r="C103" s="93">
        <v>28.9</v>
      </c>
      <c r="D103" s="93">
        <v>0</v>
      </c>
      <c r="E103" s="93">
        <v>28.9</v>
      </c>
      <c r="F103" s="93">
        <v>33.659999999999997</v>
      </c>
      <c r="G103" s="93">
        <v>0</v>
      </c>
      <c r="H103" s="93">
        <v>28.9</v>
      </c>
      <c r="I103" s="93">
        <v>28.9</v>
      </c>
      <c r="J103" s="93">
        <v>0</v>
      </c>
      <c r="K103" s="93">
        <v>29.8</v>
      </c>
      <c r="L103" s="93">
        <v>29.8</v>
      </c>
      <c r="M103" s="93">
        <v>0</v>
      </c>
      <c r="N103" s="93">
        <v>28.8</v>
      </c>
      <c r="O103" s="93">
        <v>28.8</v>
      </c>
      <c r="P103" s="93">
        <v>0</v>
      </c>
      <c r="Q103" s="93">
        <v>28.9</v>
      </c>
      <c r="R103" s="93">
        <v>28.9</v>
      </c>
      <c r="S103" s="93">
        <v>0</v>
      </c>
      <c r="T103" s="93">
        <v>28.9</v>
      </c>
      <c r="U103" s="93">
        <v>28.9</v>
      </c>
      <c r="V103" s="93">
        <v>0</v>
      </c>
      <c r="W103" s="93">
        <v>0</v>
      </c>
      <c r="X103" s="93">
        <v>0</v>
      </c>
      <c r="Y103" s="93">
        <v>0</v>
      </c>
      <c r="Z103" s="93">
        <v>28.9</v>
      </c>
      <c r="AA103" s="93">
        <v>28.9</v>
      </c>
      <c r="AB103" s="93">
        <v>0</v>
      </c>
      <c r="AC103" s="93">
        <v>29.62</v>
      </c>
      <c r="AD103" s="93">
        <v>29.62</v>
      </c>
      <c r="AE103" s="93">
        <v>0</v>
      </c>
      <c r="AF103" s="105">
        <v>28.9</v>
      </c>
      <c r="AG103" s="93">
        <v>33.56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6"/>
  <sheetViews>
    <sheetView workbookViewId="0">
      <selection activeCell="D1" sqref="D1:J4"/>
    </sheetView>
  </sheetViews>
  <sheetFormatPr defaultRowHeight="16.5"/>
  <sheetData>
    <row r="1" spans="1:15">
      <c r="A1" s="126" t="s">
        <v>277</v>
      </c>
      <c r="B1" s="126">
        <v>96</v>
      </c>
      <c r="D1" s="32" t="str">
        <f>외대식.madebyfreeodd!C4</f>
        <v>한국사</v>
      </c>
      <c r="E1" s="32" t="str">
        <f>외대식.madebyfreeodd!D4</f>
        <v>사문</v>
      </c>
      <c r="F1" s="32" t="str">
        <f>외대식.madebyfreeodd!E4</f>
        <v>베트남</v>
      </c>
      <c r="G1" s="32"/>
      <c r="H1" s="32"/>
      <c r="I1" s="32" t="str">
        <f>CONCATENATE(점수입력!C5," ",점수입력!C6)</f>
        <v>국어B 131</v>
      </c>
      <c r="J1" s="32">
        <f>VLOOKUP(I1,$L:$O,4,FALSE)</f>
        <v>100</v>
      </c>
      <c r="L1" s="126" t="s">
        <v>1056</v>
      </c>
      <c r="M1" s="127" t="s">
        <v>1057</v>
      </c>
      <c r="N1" s="126">
        <v>132</v>
      </c>
      <c r="O1" s="126">
        <v>99</v>
      </c>
    </row>
    <row r="2" spans="1:15">
      <c r="A2" s="126" t="s">
        <v>278</v>
      </c>
      <c r="B2" s="126">
        <v>90</v>
      </c>
      <c r="D2" s="32">
        <f>점수입력!F6</f>
        <v>60</v>
      </c>
      <c r="E2" s="32">
        <f>점수입력!G6</f>
        <v>66</v>
      </c>
      <c r="F2" s="32">
        <f>점수입력!H6</f>
        <v>0</v>
      </c>
      <c r="G2" s="32"/>
      <c r="H2" s="32"/>
      <c r="I2" s="32" t="str">
        <f>CONCATENATE(점수입력!D5," ",점수입력!D6)</f>
        <v>수학A 143</v>
      </c>
      <c r="J2" s="32">
        <f>VLOOKUP(I2,$L:$O,4,FALSE)</f>
        <v>100</v>
      </c>
      <c r="L2" s="126" t="s">
        <v>1058</v>
      </c>
      <c r="M2" s="127" t="s">
        <v>1057</v>
      </c>
      <c r="N2" s="126">
        <v>130</v>
      </c>
      <c r="O2" s="126">
        <v>98</v>
      </c>
    </row>
    <row r="3" spans="1:15">
      <c r="A3" s="126" t="s">
        <v>279</v>
      </c>
      <c r="B3" s="126">
        <v>85</v>
      </c>
      <c r="D3" s="32" t="str">
        <f>CONCATENATE(D1," ",D2)</f>
        <v>한국사 60</v>
      </c>
      <c r="E3" s="32" t="str">
        <f>CONCATENATE(E1," ",E2)</f>
        <v>사문 66</v>
      </c>
      <c r="F3" s="32" t="str">
        <f>CONCATENATE(F1," ",F2)</f>
        <v>베트남 0</v>
      </c>
      <c r="G3" s="32"/>
      <c r="H3" s="32"/>
      <c r="I3" s="32" t="str">
        <f>CONCATENATE(점수입력!E5," ",점수입력!E6)</f>
        <v>영어B 129</v>
      </c>
      <c r="J3" s="32">
        <f>VLOOKUP(I3,$L:$O,4,FALSE)</f>
        <v>96</v>
      </c>
      <c r="L3" s="126" t="s">
        <v>1059</v>
      </c>
      <c r="M3" s="127" t="s">
        <v>1057</v>
      </c>
      <c r="N3" s="126">
        <v>129</v>
      </c>
      <c r="O3" s="126">
        <v>97</v>
      </c>
    </row>
    <row r="4" spans="1:15">
      <c r="A4" s="126" t="s">
        <v>280</v>
      </c>
      <c r="B4" s="126">
        <v>82</v>
      </c>
      <c r="D4" s="32">
        <f>IFERROR(VLOOKUP(D3,$A:$B,2,FALSE),0)</f>
        <v>75</v>
      </c>
      <c r="E4" s="32">
        <f>IFERROR(VLOOKUP(E3,$A:$B,2,FALSE),0)</f>
        <v>98</v>
      </c>
      <c r="F4" s="32">
        <f>IFERROR(VLOOKUP(F3,$G:$H,2,FALSE),0)</f>
        <v>0</v>
      </c>
      <c r="G4" s="32"/>
      <c r="H4" s="32"/>
      <c r="I4" s="32"/>
      <c r="J4" s="32"/>
      <c r="L4" s="126" t="s">
        <v>1060</v>
      </c>
      <c r="M4" s="127" t="s">
        <v>1057</v>
      </c>
      <c r="N4" s="126">
        <v>128</v>
      </c>
      <c r="O4" s="126">
        <v>96</v>
      </c>
    </row>
    <row r="5" spans="1:15">
      <c r="A5" s="126" t="s">
        <v>281</v>
      </c>
      <c r="B5" s="126">
        <v>80</v>
      </c>
      <c r="L5" s="126" t="s">
        <v>1061</v>
      </c>
      <c r="M5" s="127" t="s">
        <v>1057</v>
      </c>
      <c r="N5" s="126">
        <v>127</v>
      </c>
      <c r="O5" s="126">
        <v>95</v>
      </c>
    </row>
    <row r="6" spans="1:15">
      <c r="A6" s="126" t="s">
        <v>281</v>
      </c>
      <c r="B6" s="126">
        <v>80</v>
      </c>
      <c r="G6" s="126" t="s">
        <v>639</v>
      </c>
      <c r="H6" s="126">
        <v>100</v>
      </c>
      <c r="L6" s="126" t="s">
        <v>1062</v>
      </c>
      <c r="M6" s="127" t="s">
        <v>1057</v>
      </c>
      <c r="N6" s="126">
        <v>126</v>
      </c>
      <c r="O6" s="126">
        <v>94</v>
      </c>
    </row>
    <row r="7" spans="1:15">
      <c r="A7" s="126" t="s">
        <v>282</v>
      </c>
      <c r="B7" s="126">
        <v>75</v>
      </c>
      <c r="G7" s="126" t="s">
        <v>640</v>
      </c>
      <c r="H7" s="126">
        <v>99</v>
      </c>
      <c r="L7" s="126" t="s">
        <v>1063</v>
      </c>
      <c r="M7" s="127" t="s">
        <v>1057</v>
      </c>
      <c r="N7" s="126">
        <v>125</v>
      </c>
      <c r="O7" s="126">
        <v>92</v>
      </c>
    </row>
    <row r="8" spans="1:15">
      <c r="A8" s="126" t="s">
        <v>283</v>
      </c>
      <c r="B8" s="126">
        <v>71</v>
      </c>
      <c r="G8" s="126" t="s">
        <v>641</v>
      </c>
      <c r="H8" s="126">
        <v>98</v>
      </c>
      <c r="L8" s="126" t="s">
        <v>1064</v>
      </c>
      <c r="M8" s="127" t="s">
        <v>1057</v>
      </c>
      <c r="N8" s="126">
        <v>124</v>
      </c>
      <c r="O8" s="126">
        <v>91</v>
      </c>
    </row>
    <row r="9" spans="1:15">
      <c r="A9" s="126" t="s">
        <v>284</v>
      </c>
      <c r="B9" s="126">
        <v>68</v>
      </c>
      <c r="G9" s="126" t="s">
        <v>642</v>
      </c>
      <c r="H9" s="126">
        <v>98</v>
      </c>
      <c r="L9" s="126" t="s">
        <v>1065</v>
      </c>
      <c r="M9" s="127" t="s">
        <v>1057</v>
      </c>
      <c r="N9" s="126">
        <v>123</v>
      </c>
      <c r="O9" s="126">
        <v>89</v>
      </c>
    </row>
    <row r="10" spans="1:15">
      <c r="A10" s="126" t="s">
        <v>285</v>
      </c>
      <c r="B10" s="126">
        <v>65</v>
      </c>
      <c r="G10" s="126" t="s">
        <v>643</v>
      </c>
      <c r="H10" s="126">
        <v>97</v>
      </c>
      <c r="L10" s="126" t="s">
        <v>1066</v>
      </c>
      <c r="M10" s="127" t="s">
        <v>1057</v>
      </c>
      <c r="N10" s="126">
        <v>122</v>
      </c>
      <c r="O10" s="126">
        <v>87</v>
      </c>
    </row>
    <row r="11" spans="1:15">
      <c r="A11" s="126" t="s">
        <v>285</v>
      </c>
      <c r="B11" s="126">
        <v>65</v>
      </c>
      <c r="G11" s="126" t="s">
        <v>644</v>
      </c>
      <c r="H11" s="126">
        <v>97</v>
      </c>
      <c r="L11" s="126" t="s">
        <v>1067</v>
      </c>
      <c r="M11" s="127" t="s">
        <v>1057</v>
      </c>
      <c r="N11" s="126">
        <v>121</v>
      </c>
      <c r="O11" s="126">
        <v>86</v>
      </c>
    </row>
    <row r="12" spans="1:15">
      <c r="A12" s="126" t="s">
        <v>286</v>
      </c>
      <c r="B12" s="126">
        <v>61</v>
      </c>
      <c r="G12" s="126" t="s">
        <v>645</v>
      </c>
      <c r="H12" s="126">
        <v>96</v>
      </c>
      <c r="L12" s="126" t="s">
        <v>1068</v>
      </c>
      <c r="M12" s="127" t="s">
        <v>1057</v>
      </c>
      <c r="N12" s="126">
        <v>120</v>
      </c>
      <c r="O12" s="126">
        <v>84</v>
      </c>
    </row>
    <row r="13" spans="1:15">
      <c r="A13" s="126" t="s">
        <v>287</v>
      </c>
      <c r="B13" s="126">
        <v>59</v>
      </c>
      <c r="G13" s="126" t="s">
        <v>646</v>
      </c>
      <c r="H13" s="126">
        <v>96</v>
      </c>
      <c r="L13" s="126" t="s">
        <v>1069</v>
      </c>
      <c r="M13" s="127" t="s">
        <v>1057</v>
      </c>
      <c r="N13" s="126">
        <v>119</v>
      </c>
      <c r="O13" s="126">
        <v>82</v>
      </c>
    </row>
    <row r="14" spans="1:15">
      <c r="A14" s="126" t="s">
        <v>288</v>
      </c>
      <c r="B14" s="126">
        <v>55</v>
      </c>
      <c r="G14" s="126" t="s">
        <v>647</v>
      </c>
      <c r="H14" s="126">
        <v>96</v>
      </c>
      <c r="L14" s="126" t="s">
        <v>1070</v>
      </c>
      <c r="M14" s="127" t="s">
        <v>1057</v>
      </c>
      <c r="N14" s="126">
        <v>118</v>
      </c>
      <c r="O14" s="126">
        <v>80</v>
      </c>
    </row>
    <row r="15" spans="1:15">
      <c r="A15" s="126" t="s">
        <v>288</v>
      </c>
      <c r="B15" s="126">
        <v>55</v>
      </c>
      <c r="G15" s="126" t="s">
        <v>648</v>
      </c>
      <c r="H15" s="126">
        <v>95</v>
      </c>
      <c r="L15" s="126" t="s">
        <v>1071</v>
      </c>
      <c r="M15" s="127" t="s">
        <v>1057</v>
      </c>
      <c r="N15" s="126">
        <v>117</v>
      </c>
      <c r="O15" s="126">
        <v>78</v>
      </c>
    </row>
    <row r="16" spans="1:15">
      <c r="A16" s="126" t="s">
        <v>289</v>
      </c>
      <c r="B16" s="126">
        <v>52</v>
      </c>
      <c r="G16" s="126" t="s">
        <v>649</v>
      </c>
      <c r="H16" s="126">
        <v>95</v>
      </c>
      <c r="L16" s="126" t="s">
        <v>1072</v>
      </c>
      <c r="M16" s="127" t="s">
        <v>1057</v>
      </c>
      <c r="N16" s="126">
        <v>116</v>
      </c>
      <c r="O16" s="126">
        <v>76</v>
      </c>
    </row>
    <row r="17" spans="1:15">
      <c r="A17" s="126" t="s">
        <v>290</v>
      </c>
      <c r="B17" s="126">
        <v>50</v>
      </c>
      <c r="G17" s="126" t="s">
        <v>650</v>
      </c>
      <c r="H17" s="126">
        <v>95</v>
      </c>
      <c r="L17" s="126" t="s">
        <v>1073</v>
      </c>
      <c r="M17" s="127" t="s">
        <v>1057</v>
      </c>
      <c r="N17" s="126">
        <v>115</v>
      </c>
      <c r="O17" s="126">
        <v>74</v>
      </c>
    </row>
    <row r="18" spans="1:15">
      <c r="A18" s="126" t="s">
        <v>291</v>
      </c>
      <c r="B18" s="126">
        <v>47</v>
      </c>
      <c r="G18" s="126" t="s">
        <v>651</v>
      </c>
      <c r="H18" s="126">
        <v>95</v>
      </c>
      <c r="L18" s="126" t="s">
        <v>1074</v>
      </c>
      <c r="M18" s="127" t="s">
        <v>1057</v>
      </c>
      <c r="N18" s="126">
        <v>114</v>
      </c>
      <c r="O18" s="126">
        <v>72</v>
      </c>
    </row>
    <row r="19" spans="1:15">
      <c r="A19" s="126" t="s">
        <v>291</v>
      </c>
      <c r="B19" s="126">
        <v>47</v>
      </c>
      <c r="G19" s="126" t="s">
        <v>652</v>
      </c>
      <c r="H19" s="126">
        <v>94</v>
      </c>
      <c r="L19" s="126" t="s">
        <v>1075</v>
      </c>
      <c r="M19" s="127" t="s">
        <v>1057</v>
      </c>
      <c r="N19" s="126">
        <v>113</v>
      </c>
      <c r="O19" s="126">
        <v>70</v>
      </c>
    </row>
    <row r="20" spans="1:15">
      <c r="A20" s="126" t="s">
        <v>292</v>
      </c>
      <c r="B20" s="126">
        <v>44</v>
      </c>
      <c r="G20" s="126" t="s">
        <v>653</v>
      </c>
      <c r="H20" s="126">
        <v>94</v>
      </c>
      <c r="L20" s="126" t="s">
        <v>1076</v>
      </c>
      <c r="M20" s="127" t="s">
        <v>1057</v>
      </c>
      <c r="N20" s="126">
        <v>112</v>
      </c>
      <c r="O20" s="126">
        <v>68</v>
      </c>
    </row>
    <row r="21" spans="1:15">
      <c r="A21" s="126" t="s">
        <v>293</v>
      </c>
      <c r="B21" s="126">
        <v>42</v>
      </c>
      <c r="G21" s="126" t="s">
        <v>654</v>
      </c>
      <c r="H21" s="126">
        <v>94</v>
      </c>
      <c r="L21" s="126" t="s">
        <v>1077</v>
      </c>
      <c r="M21" s="127" t="s">
        <v>1057</v>
      </c>
      <c r="N21" s="126">
        <v>111</v>
      </c>
      <c r="O21" s="126">
        <v>66</v>
      </c>
    </row>
    <row r="22" spans="1:15">
      <c r="A22" s="126" t="s">
        <v>294</v>
      </c>
      <c r="B22" s="126">
        <v>40</v>
      </c>
      <c r="G22" s="126" t="s">
        <v>655</v>
      </c>
      <c r="H22" s="126">
        <v>94</v>
      </c>
      <c r="L22" s="126" t="s">
        <v>1078</v>
      </c>
      <c r="M22" s="127" t="s">
        <v>1057</v>
      </c>
      <c r="N22" s="126">
        <v>110</v>
      </c>
      <c r="O22" s="126">
        <v>64</v>
      </c>
    </row>
    <row r="23" spans="1:15">
      <c r="A23" s="126" t="s">
        <v>294</v>
      </c>
      <c r="B23" s="126">
        <v>40</v>
      </c>
      <c r="G23" s="126" t="s">
        <v>656</v>
      </c>
      <c r="H23" s="126">
        <v>93</v>
      </c>
      <c r="L23" s="126" t="s">
        <v>1079</v>
      </c>
      <c r="M23" s="127" t="s">
        <v>1057</v>
      </c>
      <c r="N23" s="126">
        <v>109</v>
      </c>
      <c r="O23" s="126">
        <v>62</v>
      </c>
    </row>
    <row r="24" spans="1:15">
      <c r="A24" s="126" t="s">
        <v>295</v>
      </c>
      <c r="B24" s="126">
        <v>37</v>
      </c>
      <c r="G24" s="126" t="s">
        <v>657</v>
      </c>
      <c r="H24" s="126">
        <v>93</v>
      </c>
      <c r="L24" s="126" t="s">
        <v>1080</v>
      </c>
      <c r="M24" s="127" t="s">
        <v>1057</v>
      </c>
      <c r="N24" s="126">
        <v>108</v>
      </c>
      <c r="O24" s="126">
        <v>60</v>
      </c>
    </row>
    <row r="25" spans="1:15">
      <c r="A25" s="126" t="s">
        <v>296</v>
      </c>
      <c r="B25" s="126">
        <v>35</v>
      </c>
      <c r="G25" s="126" t="s">
        <v>658</v>
      </c>
      <c r="H25" s="126">
        <v>93</v>
      </c>
      <c r="L25" s="126" t="s">
        <v>1081</v>
      </c>
      <c r="M25" s="127" t="s">
        <v>1057</v>
      </c>
      <c r="N25" s="126">
        <v>107</v>
      </c>
      <c r="O25" s="126">
        <v>58</v>
      </c>
    </row>
    <row r="26" spans="1:15">
      <c r="A26" s="126" t="s">
        <v>297</v>
      </c>
      <c r="B26" s="126">
        <v>32</v>
      </c>
      <c r="G26" s="126" t="s">
        <v>659</v>
      </c>
      <c r="H26" s="126">
        <v>93</v>
      </c>
      <c r="L26" s="126" t="s">
        <v>1082</v>
      </c>
      <c r="M26" s="127" t="s">
        <v>1057</v>
      </c>
      <c r="N26" s="126">
        <v>106</v>
      </c>
      <c r="O26" s="126">
        <v>56</v>
      </c>
    </row>
    <row r="27" spans="1:15">
      <c r="A27" s="126" t="s">
        <v>297</v>
      </c>
      <c r="B27" s="126">
        <v>32</v>
      </c>
      <c r="G27" s="126" t="s">
        <v>660</v>
      </c>
      <c r="H27" s="126">
        <v>92</v>
      </c>
      <c r="L27" s="126" t="s">
        <v>1083</v>
      </c>
      <c r="M27" s="127" t="s">
        <v>1057</v>
      </c>
      <c r="N27" s="126">
        <v>105</v>
      </c>
      <c r="O27" s="126">
        <v>54</v>
      </c>
    </row>
    <row r="28" spans="1:15">
      <c r="A28" s="126" t="s">
        <v>298</v>
      </c>
      <c r="B28" s="126">
        <v>29</v>
      </c>
      <c r="G28" s="126" t="s">
        <v>661</v>
      </c>
      <c r="H28" s="126">
        <v>92</v>
      </c>
      <c r="L28" s="126" t="s">
        <v>1084</v>
      </c>
      <c r="M28" s="127" t="s">
        <v>1057</v>
      </c>
      <c r="N28" s="126">
        <v>104</v>
      </c>
      <c r="O28" s="126">
        <v>52</v>
      </c>
    </row>
    <row r="29" spans="1:15">
      <c r="A29" s="126" t="s">
        <v>299</v>
      </c>
      <c r="B29" s="126">
        <v>27</v>
      </c>
      <c r="G29" s="126" t="s">
        <v>662</v>
      </c>
      <c r="H29" s="126">
        <v>92</v>
      </c>
      <c r="L29" s="126" t="s">
        <v>1085</v>
      </c>
      <c r="M29" s="127" t="s">
        <v>1057</v>
      </c>
      <c r="N29" s="126">
        <v>103</v>
      </c>
      <c r="O29" s="126">
        <v>50</v>
      </c>
    </row>
    <row r="30" spans="1:15">
      <c r="A30" s="126" t="s">
        <v>300</v>
      </c>
      <c r="B30" s="126">
        <v>24</v>
      </c>
      <c r="G30" s="126" t="s">
        <v>663</v>
      </c>
      <c r="H30" s="126">
        <v>92</v>
      </c>
      <c r="L30" s="126" t="s">
        <v>1086</v>
      </c>
      <c r="M30" s="127" t="s">
        <v>1057</v>
      </c>
      <c r="N30" s="126">
        <v>102</v>
      </c>
      <c r="O30" s="126">
        <v>48</v>
      </c>
    </row>
    <row r="31" spans="1:15">
      <c r="A31" s="126" t="s">
        <v>300</v>
      </c>
      <c r="B31" s="126">
        <v>24</v>
      </c>
      <c r="G31" s="126" t="s">
        <v>664</v>
      </c>
      <c r="H31" s="126">
        <v>91</v>
      </c>
      <c r="L31" s="126" t="s">
        <v>1087</v>
      </c>
      <c r="M31" s="127" t="s">
        <v>1057</v>
      </c>
      <c r="N31" s="126">
        <v>101</v>
      </c>
      <c r="O31" s="126">
        <v>47</v>
      </c>
    </row>
    <row r="32" spans="1:15">
      <c r="A32" s="126" t="s">
        <v>301</v>
      </c>
      <c r="B32" s="126">
        <v>20</v>
      </c>
      <c r="G32" s="126" t="s">
        <v>665</v>
      </c>
      <c r="H32" s="126">
        <v>91</v>
      </c>
      <c r="L32" s="126" t="s">
        <v>1088</v>
      </c>
      <c r="M32" s="127" t="s">
        <v>1057</v>
      </c>
      <c r="N32" s="126">
        <v>100</v>
      </c>
      <c r="O32" s="126">
        <v>45</v>
      </c>
    </row>
    <row r="33" spans="1:15">
      <c r="A33" s="126" t="s">
        <v>302</v>
      </c>
      <c r="B33" s="126">
        <v>18</v>
      </c>
      <c r="G33" s="126" t="s">
        <v>666</v>
      </c>
      <c r="H33" s="126">
        <v>91</v>
      </c>
      <c r="L33" s="126" t="s">
        <v>1089</v>
      </c>
      <c r="M33" s="127" t="s">
        <v>1057</v>
      </c>
      <c r="N33" s="126">
        <v>99</v>
      </c>
      <c r="O33" s="126">
        <v>43</v>
      </c>
    </row>
    <row r="34" spans="1:15">
      <c r="A34" s="126" t="s">
        <v>303</v>
      </c>
      <c r="B34" s="126">
        <v>16</v>
      </c>
      <c r="G34" s="126" t="s">
        <v>667</v>
      </c>
      <c r="H34" s="126">
        <v>90</v>
      </c>
      <c r="L34" s="126" t="s">
        <v>1090</v>
      </c>
      <c r="M34" s="127" t="s">
        <v>1057</v>
      </c>
      <c r="N34" s="126">
        <v>98</v>
      </c>
      <c r="O34" s="126">
        <v>42</v>
      </c>
    </row>
    <row r="35" spans="1:15">
      <c r="A35" s="126" t="s">
        <v>304</v>
      </c>
      <c r="B35" s="126">
        <v>13</v>
      </c>
      <c r="G35" s="126" t="s">
        <v>668</v>
      </c>
      <c r="H35" s="126">
        <v>89</v>
      </c>
      <c r="L35" s="126" t="s">
        <v>1091</v>
      </c>
      <c r="M35" s="127" t="s">
        <v>1057</v>
      </c>
      <c r="N35" s="126">
        <v>97</v>
      </c>
      <c r="O35" s="126">
        <v>40</v>
      </c>
    </row>
    <row r="36" spans="1:15">
      <c r="A36" s="126" t="s">
        <v>304</v>
      </c>
      <c r="B36" s="126">
        <v>13</v>
      </c>
      <c r="G36" s="126" t="s">
        <v>669</v>
      </c>
      <c r="H36" s="126">
        <v>88</v>
      </c>
      <c r="L36" s="126" t="s">
        <v>1092</v>
      </c>
      <c r="M36" s="127" t="s">
        <v>1057</v>
      </c>
      <c r="N36" s="126">
        <v>96</v>
      </c>
      <c r="O36" s="126">
        <v>38</v>
      </c>
    </row>
    <row r="37" spans="1:15">
      <c r="A37" s="126" t="s">
        <v>305</v>
      </c>
      <c r="B37" s="126">
        <v>10</v>
      </c>
      <c r="G37" s="126" t="s">
        <v>670</v>
      </c>
      <c r="H37" s="126">
        <v>87</v>
      </c>
      <c r="L37" s="126" t="s">
        <v>1093</v>
      </c>
      <c r="M37" s="127" t="s">
        <v>1057</v>
      </c>
      <c r="N37" s="126">
        <v>95</v>
      </c>
      <c r="O37" s="126">
        <v>37</v>
      </c>
    </row>
    <row r="38" spans="1:15">
      <c r="A38" s="126" t="s">
        <v>306</v>
      </c>
      <c r="B38" s="126">
        <v>8</v>
      </c>
      <c r="G38" s="126" t="s">
        <v>671</v>
      </c>
      <c r="H38" s="126">
        <v>85</v>
      </c>
      <c r="L38" s="126" t="s">
        <v>1094</v>
      </c>
      <c r="M38" s="127" t="s">
        <v>1057</v>
      </c>
      <c r="N38" s="126">
        <v>94</v>
      </c>
      <c r="O38" s="126">
        <v>35</v>
      </c>
    </row>
    <row r="39" spans="1:15">
      <c r="A39" s="126" t="s">
        <v>307</v>
      </c>
      <c r="B39" s="126">
        <v>6</v>
      </c>
      <c r="G39" s="126" t="s">
        <v>672</v>
      </c>
      <c r="H39" s="126">
        <v>82</v>
      </c>
      <c r="L39" s="126" t="s">
        <v>1095</v>
      </c>
      <c r="M39" s="127" t="s">
        <v>1057</v>
      </c>
      <c r="N39" s="126">
        <v>93</v>
      </c>
      <c r="O39" s="126">
        <v>34</v>
      </c>
    </row>
    <row r="40" spans="1:15">
      <c r="A40" s="126" t="s">
        <v>307</v>
      </c>
      <c r="B40" s="126">
        <v>6</v>
      </c>
      <c r="G40" s="126" t="s">
        <v>673</v>
      </c>
      <c r="H40" s="126">
        <v>78</v>
      </c>
      <c r="L40" s="126" t="s">
        <v>1096</v>
      </c>
      <c r="M40" s="127" t="s">
        <v>1057</v>
      </c>
      <c r="N40" s="126">
        <v>92</v>
      </c>
      <c r="O40" s="126">
        <v>32</v>
      </c>
    </row>
    <row r="41" spans="1:15">
      <c r="A41" s="126" t="s">
        <v>308</v>
      </c>
      <c r="B41" s="126">
        <v>4</v>
      </c>
      <c r="G41" s="126" t="s">
        <v>674</v>
      </c>
      <c r="H41" s="126">
        <v>73</v>
      </c>
      <c r="L41" s="126" t="s">
        <v>1097</v>
      </c>
      <c r="M41" s="127" t="s">
        <v>1057</v>
      </c>
      <c r="N41" s="126">
        <v>91</v>
      </c>
      <c r="O41" s="126">
        <v>31</v>
      </c>
    </row>
    <row r="42" spans="1:15">
      <c r="A42" s="126" t="s">
        <v>309</v>
      </c>
      <c r="B42" s="126">
        <v>3</v>
      </c>
      <c r="G42" s="126" t="s">
        <v>675</v>
      </c>
      <c r="H42" s="126">
        <v>66</v>
      </c>
      <c r="L42" s="126" t="s">
        <v>1098</v>
      </c>
      <c r="M42" s="127" t="s">
        <v>1057</v>
      </c>
      <c r="N42" s="126">
        <v>90</v>
      </c>
      <c r="O42" s="126">
        <v>30</v>
      </c>
    </row>
    <row r="43" spans="1:15">
      <c r="A43" s="126" t="s">
        <v>310</v>
      </c>
      <c r="B43" s="126">
        <v>2</v>
      </c>
      <c r="G43" s="126" t="s">
        <v>676</v>
      </c>
      <c r="H43" s="126">
        <v>59</v>
      </c>
      <c r="L43" s="126" t="s">
        <v>1099</v>
      </c>
      <c r="M43" s="127" t="s">
        <v>1057</v>
      </c>
      <c r="N43" s="126">
        <v>89</v>
      </c>
      <c r="O43" s="126">
        <v>28</v>
      </c>
    </row>
    <row r="44" spans="1:15">
      <c r="A44" s="126" t="s">
        <v>310</v>
      </c>
      <c r="B44" s="126">
        <v>2</v>
      </c>
      <c r="G44" s="126" t="s">
        <v>677</v>
      </c>
      <c r="H44" s="126">
        <v>51</v>
      </c>
      <c r="L44" s="126" t="s">
        <v>1100</v>
      </c>
      <c r="M44" s="127" t="s">
        <v>1057</v>
      </c>
      <c r="N44" s="126">
        <v>88</v>
      </c>
      <c r="O44" s="126">
        <v>27</v>
      </c>
    </row>
    <row r="45" spans="1:15">
      <c r="A45" s="126" t="s">
        <v>311</v>
      </c>
      <c r="B45" s="126">
        <v>1</v>
      </c>
      <c r="G45" s="126" t="s">
        <v>678</v>
      </c>
      <c r="H45" s="126">
        <v>41</v>
      </c>
      <c r="L45" s="126" t="s">
        <v>1101</v>
      </c>
      <c r="M45" s="127" t="s">
        <v>1057</v>
      </c>
      <c r="N45" s="126">
        <v>87</v>
      </c>
      <c r="O45" s="126">
        <v>26</v>
      </c>
    </row>
    <row r="46" spans="1:15">
      <c r="A46" s="126" t="s">
        <v>312</v>
      </c>
      <c r="B46" s="126">
        <v>1</v>
      </c>
      <c r="G46" s="126" t="s">
        <v>679</v>
      </c>
      <c r="H46" s="126">
        <v>32</v>
      </c>
      <c r="L46" s="126" t="s">
        <v>1102</v>
      </c>
      <c r="M46" s="127" t="s">
        <v>1057</v>
      </c>
      <c r="N46" s="126">
        <v>86</v>
      </c>
      <c r="O46" s="126">
        <v>25</v>
      </c>
    </row>
    <row r="47" spans="1:15">
      <c r="A47" s="126" t="s">
        <v>313</v>
      </c>
      <c r="B47" s="126">
        <v>0</v>
      </c>
      <c r="G47" s="126" t="s">
        <v>680</v>
      </c>
      <c r="H47" s="126">
        <v>23</v>
      </c>
      <c r="L47" s="126" t="s">
        <v>1103</v>
      </c>
      <c r="M47" s="127" t="s">
        <v>1057</v>
      </c>
      <c r="N47" s="126">
        <v>85</v>
      </c>
      <c r="O47" s="126">
        <v>23</v>
      </c>
    </row>
    <row r="48" spans="1:15">
      <c r="A48" s="126" t="s">
        <v>313</v>
      </c>
      <c r="B48" s="126">
        <v>0</v>
      </c>
      <c r="G48" s="126" t="s">
        <v>681</v>
      </c>
      <c r="H48" s="126">
        <v>16</v>
      </c>
      <c r="L48" s="126" t="s">
        <v>1104</v>
      </c>
      <c r="M48" s="127" t="s">
        <v>1057</v>
      </c>
      <c r="N48" s="126">
        <v>84</v>
      </c>
      <c r="O48" s="126">
        <v>22</v>
      </c>
    </row>
    <row r="49" spans="1:15">
      <c r="A49" s="126" t="s">
        <v>314</v>
      </c>
      <c r="B49" s="126">
        <v>0</v>
      </c>
      <c r="G49" s="126" t="s">
        <v>682</v>
      </c>
      <c r="H49" s="126">
        <v>10</v>
      </c>
      <c r="L49" s="126" t="s">
        <v>1105</v>
      </c>
      <c r="M49" s="127" t="s">
        <v>1057</v>
      </c>
      <c r="N49" s="126">
        <v>83</v>
      </c>
      <c r="O49" s="126">
        <v>21</v>
      </c>
    </row>
    <row r="50" spans="1:15">
      <c r="A50" s="126" t="s">
        <v>315</v>
      </c>
      <c r="B50" s="126">
        <v>98</v>
      </c>
      <c r="G50" s="126" t="s">
        <v>683</v>
      </c>
      <c r="H50" s="126">
        <v>6</v>
      </c>
      <c r="L50" s="126" t="s">
        <v>1106</v>
      </c>
      <c r="M50" s="127" t="s">
        <v>1057</v>
      </c>
      <c r="N50" s="126">
        <v>82</v>
      </c>
      <c r="O50" s="126">
        <v>20</v>
      </c>
    </row>
    <row r="51" spans="1:15">
      <c r="A51" s="126" t="s">
        <v>316</v>
      </c>
      <c r="B51" s="126">
        <v>95</v>
      </c>
      <c r="G51" s="126" t="s">
        <v>684</v>
      </c>
      <c r="H51" s="126">
        <v>4</v>
      </c>
      <c r="L51" s="126" t="s">
        <v>1107</v>
      </c>
      <c r="M51" s="127" t="s">
        <v>1057</v>
      </c>
      <c r="N51" s="126">
        <v>81</v>
      </c>
      <c r="O51" s="126">
        <v>19</v>
      </c>
    </row>
    <row r="52" spans="1:15">
      <c r="A52" s="126" t="s">
        <v>317</v>
      </c>
      <c r="B52" s="126">
        <v>92</v>
      </c>
      <c r="G52" s="126" t="s">
        <v>685</v>
      </c>
      <c r="H52" s="126">
        <v>2</v>
      </c>
      <c r="L52" s="126" t="s">
        <v>1108</v>
      </c>
      <c r="M52" s="127" t="s">
        <v>1057</v>
      </c>
      <c r="N52" s="126">
        <v>80</v>
      </c>
      <c r="O52" s="126">
        <v>18</v>
      </c>
    </row>
    <row r="53" spans="1:15">
      <c r="A53" s="126" t="s">
        <v>317</v>
      </c>
      <c r="B53" s="126">
        <v>92</v>
      </c>
      <c r="G53" s="126" t="s">
        <v>686</v>
      </c>
      <c r="H53" s="126">
        <v>1</v>
      </c>
      <c r="L53" s="126" t="s">
        <v>1109</v>
      </c>
      <c r="M53" s="127" t="s">
        <v>1057</v>
      </c>
      <c r="N53" s="126">
        <v>79</v>
      </c>
      <c r="O53" s="126">
        <v>17</v>
      </c>
    </row>
    <row r="54" spans="1:15">
      <c r="A54" s="126" t="s">
        <v>318</v>
      </c>
      <c r="B54" s="126">
        <v>87</v>
      </c>
      <c r="G54" s="126" t="s">
        <v>687</v>
      </c>
      <c r="H54" s="126">
        <v>0</v>
      </c>
      <c r="L54" s="126" t="s">
        <v>1110</v>
      </c>
      <c r="M54" s="127" t="s">
        <v>1057</v>
      </c>
      <c r="N54" s="126">
        <v>78</v>
      </c>
      <c r="O54" s="126">
        <v>16</v>
      </c>
    </row>
    <row r="55" spans="1:15">
      <c r="A55" s="126" t="s">
        <v>319</v>
      </c>
      <c r="B55" s="126">
        <v>83</v>
      </c>
      <c r="G55" s="126" t="s">
        <v>688</v>
      </c>
      <c r="H55" s="126">
        <v>0</v>
      </c>
      <c r="L55" s="126" t="s">
        <v>1111</v>
      </c>
      <c r="M55" s="127" t="s">
        <v>1057</v>
      </c>
      <c r="N55" s="126">
        <v>77</v>
      </c>
      <c r="O55" s="126">
        <v>15</v>
      </c>
    </row>
    <row r="56" spans="1:15">
      <c r="A56" s="126" t="s">
        <v>320</v>
      </c>
      <c r="B56" s="126">
        <v>79</v>
      </c>
      <c r="G56" s="126" t="s">
        <v>689</v>
      </c>
      <c r="H56" s="126">
        <v>0</v>
      </c>
      <c r="L56" s="126" t="s">
        <v>1112</v>
      </c>
      <c r="M56" s="127" t="s">
        <v>1057</v>
      </c>
      <c r="N56" s="126">
        <v>76</v>
      </c>
      <c r="O56" s="126">
        <v>14</v>
      </c>
    </row>
    <row r="57" spans="1:15">
      <c r="A57" s="126" t="s">
        <v>320</v>
      </c>
      <c r="B57" s="126">
        <v>79</v>
      </c>
      <c r="G57" s="126" t="s">
        <v>690</v>
      </c>
      <c r="H57" s="126">
        <v>100</v>
      </c>
      <c r="L57" s="126" t="s">
        <v>1113</v>
      </c>
      <c r="M57" s="127" t="s">
        <v>1057</v>
      </c>
      <c r="N57" s="126">
        <v>75</v>
      </c>
      <c r="O57" s="126">
        <v>14</v>
      </c>
    </row>
    <row r="58" spans="1:15">
      <c r="A58" s="126" t="s">
        <v>321</v>
      </c>
      <c r="B58" s="126">
        <v>74</v>
      </c>
      <c r="G58" s="126" t="s">
        <v>691</v>
      </c>
      <c r="H58" s="126">
        <v>99</v>
      </c>
      <c r="L58" s="126" t="s">
        <v>1114</v>
      </c>
      <c r="M58" s="127" t="s">
        <v>1057</v>
      </c>
      <c r="N58" s="126">
        <v>74</v>
      </c>
      <c r="O58" s="126">
        <v>13</v>
      </c>
    </row>
    <row r="59" spans="1:15">
      <c r="A59" s="126" t="s">
        <v>322</v>
      </c>
      <c r="B59" s="126">
        <v>72</v>
      </c>
      <c r="G59" s="126" t="s">
        <v>692</v>
      </c>
      <c r="H59" s="126">
        <v>97</v>
      </c>
      <c r="L59" s="126" t="s">
        <v>1115</v>
      </c>
      <c r="M59" s="127" t="s">
        <v>1057</v>
      </c>
      <c r="N59" s="126">
        <v>73</v>
      </c>
      <c r="O59" s="126">
        <v>12</v>
      </c>
    </row>
    <row r="60" spans="1:15">
      <c r="A60" s="126" t="s">
        <v>323</v>
      </c>
      <c r="B60" s="126">
        <v>68</v>
      </c>
      <c r="G60" s="126" t="s">
        <v>692</v>
      </c>
      <c r="H60" s="126">
        <v>97</v>
      </c>
      <c r="L60" s="126" t="s">
        <v>1116</v>
      </c>
      <c r="M60" s="127" t="s">
        <v>1057</v>
      </c>
      <c r="N60" s="126">
        <v>72</v>
      </c>
      <c r="O60" s="126">
        <v>11</v>
      </c>
    </row>
    <row r="61" spans="1:15">
      <c r="A61" s="126" t="s">
        <v>324</v>
      </c>
      <c r="B61" s="126">
        <v>64</v>
      </c>
      <c r="G61" s="126" t="s">
        <v>693</v>
      </c>
      <c r="H61" s="126">
        <v>93</v>
      </c>
      <c r="L61" s="126" t="s">
        <v>1117</v>
      </c>
      <c r="M61" s="127" t="s">
        <v>1057</v>
      </c>
      <c r="N61" s="126">
        <v>71</v>
      </c>
      <c r="O61" s="126">
        <v>11</v>
      </c>
    </row>
    <row r="62" spans="1:15">
      <c r="A62" s="126" t="s">
        <v>324</v>
      </c>
      <c r="B62" s="126">
        <v>64</v>
      </c>
      <c r="G62" s="126" t="s">
        <v>694</v>
      </c>
      <c r="H62" s="126">
        <v>89</v>
      </c>
      <c r="L62" s="126" t="s">
        <v>1118</v>
      </c>
      <c r="M62" s="127" t="s">
        <v>1057</v>
      </c>
      <c r="N62" s="126">
        <v>70</v>
      </c>
      <c r="O62" s="126">
        <v>10</v>
      </c>
    </row>
    <row r="63" spans="1:15">
      <c r="A63" s="126" t="s">
        <v>325</v>
      </c>
      <c r="B63" s="126">
        <v>61</v>
      </c>
      <c r="G63" s="126" t="s">
        <v>695</v>
      </c>
      <c r="H63" s="126">
        <v>81</v>
      </c>
      <c r="L63" s="126" t="s">
        <v>1119</v>
      </c>
      <c r="M63" s="127" t="s">
        <v>1057</v>
      </c>
      <c r="N63" s="126">
        <v>69</v>
      </c>
      <c r="O63" s="126">
        <v>9</v>
      </c>
    </row>
    <row r="64" spans="1:15">
      <c r="A64" s="126" t="s">
        <v>326</v>
      </c>
      <c r="B64" s="126">
        <v>58</v>
      </c>
      <c r="G64" s="126" t="s">
        <v>695</v>
      </c>
      <c r="H64" s="126">
        <v>81</v>
      </c>
      <c r="L64" s="126" t="s">
        <v>1120</v>
      </c>
      <c r="M64" s="127" t="s">
        <v>1057</v>
      </c>
      <c r="N64" s="126">
        <v>68</v>
      </c>
      <c r="O64" s="126">
        <v>9</v>
      </c>
    </row>
    <row r="65" spans="1:15">
      <c r="A65" s="126" t="s">
        <v>327</v>
      </c>
      <c r="B65" s="126">
        <v>55</v>
      </c>
      <c r="G65" s="126" t="s">
        <v>696</v>
      </c>
      <c r="H65" s="126">
        <v>73</v>
      </c>
      <c r="L65" s="126" t="s">
        <v>1121</v>
      </c>
      <c r="M65" s="127" t="s">
        <v>1057</v>
      </c>
      <c r="N65" s="126">
        <v>67</v>
      </c>
      <c r="O65" s="126">
        <v>8</v>
      </c>
    </row>
    <row r="66" spans="1:15">
      <c r="A66" s="126" t="s">
        <v>327</v>
      </c>
      <c r="B66" s="126">
        <v>55</v>
      </c>
      <c r="G66" s="126" t="s">
        <v>697</v>
      </c>
      <c r="H66" s="126">
        <v>67</v>
      </c>
      <c r="L66" s="126" t="s">
        <v>1122</v>
      </c>
      <c r="M66" s="127" t="s">
        <v>1057</v>
      </c>
      <c r="N66" s="126">
        <v>66</v>
      </c>
      <c r="O66" s="126">
        <v>8</v>
      </c>
    </row>
    <row r="67" spans="1:15">
      <c r="A67" s="126" t="s">
        <v>328</v>
      </c>
      <c r="B67" s="126">
        <v>52</v>
      </c>
      <c r="G67" s="126" t="s">
        <v>697</v>
      </c>
      <c r="H67" s="126">
        <v>67</v>
      </c>
      <c r="L67" s="126" t="s">
        <v>1123</v>
      </c>
      <c r="M67" s="127" t="s">
        <v>1057</v>
      </c>
      <c r="N67" s="126">
        <v>65</v>
      </c>
      <c r="O67" s="126">
        <v>7</v>
      </c>
    </row>
    <row r="68" spans="1:15">
      <c r="A68" s="126" t="s">
        <v>329</v>
      </c>
      <c r="B68" s="126">
        <v>50</v>
      </c>
      <c r="G68" s="126" t="s">
        <v>698</v>
      </c>
      <c r="H68" s="126">
        <v>61</v>
      </c>
      <c r="L68" s="126" t="s">
        <v>1123</v>
      </c>
      <c r="M68" s="127" t="s">
        <v>1057</v>
      </c>
      <c r="N68" s="126">
        <v>65</v>
      </c>
      <c r="O68" s="126">
        <v>6</v>
      </c>
    </row>
    <row r="69" spans="1:15">
      <c r="A69" s="126" t="s">
        <v>330</v>
      </c>
      <c r="B69" s="126">
        <v>48</v>
      </c>
      <c r="G69" s="126" t="s">
        <v>699</v>
      </c>
      <c r="H69" s="126">
        <v>58</v>
      </c>
      <c r="L69" s="126" t="s">
        <v>1124</v>
      </c>
      <c r="M69" s="127" t="s">
        <v>1057</v>
      </c>
      <c r="N69" s="126">
        <v>64</v>
      </c>
      <c r="O69" s="126">
        <v>6</v>
      </c>
    </row>
    <row r="70" spans="1:15">
      <c r="A70" s="126" t="s">
        <v>331</v>
      </c>
      <c r="B70" s="126">
        <v>45</v>
      </c>
      <c r="G70" s="126" t="s">
        <v>700</v>
      </c>
      <c r="H70" s="126">
        <v>55</v>
      </c>
      <c r="L70" s="126" t="s">
        <v>1125</v>
      </c>
      <c r="M70" s="127" t="s">
        <v>1057</v>
      </c>
      <c r="N70" s="126">
        <v>63</v>
      </c>
      <c r="O70" s="126">
        <v>5</v>
      </c>
    </row>
    <row r="71" spans="1:15">
      <c r="A71" s="126" t="s">
        <v>331</v>
      </c>
      <c r="B71" s="126">
        <v>45</v>
      </c>
      <c r="G71" s="126" t="s">
        <v>700</v>
      </c>
      <c r="H71" s="126">
        <v>55</v>
      </c>
      <c r="L71" s="126" t="s">
        <v>1126</v>
      </c>
      <c r="M71" s="127" t="s">
        <v>1057</v>
      </c>
      <c r="N71" s="126">
        <v>62</v>
      </c>
      <c r="O71" s="126">
        <v>5</v>
      </c>
    </row>
    <row r="72" spans="1:15">
      <c r="A72" s="126" t="s">
        <v>332</v>
      </c>
      <c r="B72" s="126">
        <v>43</v>
      </c>
      <c r="G72" s="126" t="s">
        <v>701</v>
      </c>
      <c r="H72" s="126">
        <v>51</v>
      </c>
      <c r="L72" s="126" t="s">
        <v>1127</v>
      </c>
      <c r="M72" s="127" t="s">
        <v>1057</v>
      </c>
      <c r="N72" s="126">
        <v>61</v>
      </c>
      <c r="O72" s="126">
        <v>5</v>
      </c>
    </row>
    <row r="73" spans="1:15">
      <c r="A73" s="126" t="s">
        <v>333</v>
      </c>
      <c r="B73" s="126">
        <v>41</v>
      </c>
      <c r="G73" s="126" t="s">
        <v>702</v>
      </c>
      <c r="H73" s="126">
        <v>50</v>
      </c>
      <c r="L73" s="126" t="s">
        <v>1128</v>
      </c>
      <c r="M73" s="127" t="s">
        <v>1057</v>
      </c>
      <c r="N73" s="126">
        <v>60</v>
      </c>
      <c r="O73" s="126">
        <v>4</v>
      </c>
    </row>
    <row r="74" spans="1:15">
      <c r="A74" s="126" t="s">
        <v>334</v>
      </c>
      <c r="B74" s="126">
        <v>38</v>
      </c>
      <c r="G74" s="126" t="s">
        <v>702</v>
      </c>
      <c r="H74" s="126">
        <v>50</v>
      </c>
      <c r="L74" s="126" t="s">
        <v>1129</v>
      </c>
      <c r="M74" s="127" t="s">
        <v>1057</v>
      </c>
      <c r="N74" s="126">
        <v>59</v>
      </c>
      <c r="O74" s="126">
        <v>4</v>
      </c>
    </row>
    <row r="75" spans="1:15">
      <c r="A75" s="126" t="s">
        <v>334</v>
      </c>
      <c r="B75" s="126">
        <v>38</v>
      </c>
      <c r="G75" s="126" t="s">
        <v>703</v>
      </c>
      <c r="H75" s="126">
        <v>48</v>
      </c>
      <c r="L75" s="126" t="s">
        <v>1130</v>
      </c>
      <c r="M75" s="127" t="s">
        <v>1057</v>
      </c>
      <c r="N75" s="126">
        <v>58</v>
      </c>
      <c r="O75" s="126">
        <v>3</v>
      </c>
    </row>
    <row r="76" spans="1:15">
      <c r="A76" s="126" t="s">
        <v>335</v>
      </c>
      <c r="B76" s="126">
        <v>35</v>
      </c>
      <c r="G76" s="126" t="s">
        <v>704</v>
      </c>
      <c r="H76" s="126">
        <v>46</v>
      </c>
      <c r="L76" s="126" t="s">
        <v>1131</v>
      </c>
      <c r="M76" s="127" t="s">
        <v>1057</v>
      </c>
      <c r="N76" s="126">
        <v>57</v>
      </c>
      <c r="O76" s="126">
        <v>3</v>
      </c>
    </row>
    <row r="77" spans="1:15">
      <c r="A77" s="126" t="s">
        <v>336</v>
      </c>
      <c r="B77" s="126">
        <v>33</v>
      </c>
      <c r="G77" s="126" t="s">
        <v>705</v>
      </c>
      <c r="H77" s="126">
        <v>45</v>
      </c>
      <c r="L77" s="126" t="s">
        <v>1132</v>
      </c>
      <c r="M77" s="127" t="s">
        <v>1057</v>
      </c>
      <c r="N77" s="126">
        <v>56</v>
      </c>
      <c r="O77" s="126">
        <v>2</v>
      </c>
    </row>
    <row r="78" spans="1:15">
      <c r="A78" s="126" t="s">
        <v>337</v>
      </c>
      <c r="B78" s="126">
        <v>31</v>
      </c>
      <c r="G78" s="126" t="s">
        <v>705</v>
      </c>
      <c r="H78" s="126">
        <v>45</v>
      </c>
      <c r="L78" s="126" t="s">
        <v>1133</v>
      </c>
      <c r="M78" s="127" t="s">
        <v>1057</v>
      </c>
      <c r="N78" s="126">
        <v>55</v>
      </c>
      <c r="O78" s="126">
        <v>2</v>
      </c>
    </row>
    <row r="79" spans="1:15">
      <c r="A79" s="126" t="s">
        <v>338</v>
      </c>
      <c r="B79" s="126">
        <v>28</v>
      </c>
      <c r="G79" s="126" t="s">
        <v>706</v>
      </c>
      <c r="H79" s="126">
        <v>44</v>
      </c>
      <c r="L79" s="126" t="s">
        <v>1134</v>
      </c>
      <c r="M79" s="127" t="s">
        <v>1057</v>
      </c>
      <c r="N79" s="126">
        <v>54</v>
      </c>
      <c r="O79" s="126">
        <v>2</v>
      </c>
    </row>
    <row r="80" spans="1:15">
      <c r="A80" s="126" t="s">
        <v>338</v>
      </c>
      <c r="B80" s="126">
        <v>28</v>
      </c>
      <c r="G80" s="126" t="s">
        <v>707</v>
      </c>
      <c r="H80" s="126">
        <v>42</v>
      </c>
      <c r="L80" s="126" t="s">
        <v>1135</v>
      </c>
      <c r="M80" s="127" t="s">
        <v>1057</v>
      </c>
      <c r="N80" s="126">
        <v>53</v>
      </c>
      <c r="O80" s="126">
        <v>1</v>
      </c>
    </row>
    <row r="81" spans="1:15">
      <c r="A81" s="126" t="s">
        <v>339</v>
      </c>
      <c r="B81" s="126">
        <v>24</v>
      </c>
      <c r="G81" s="126" t="s">
        <v>707</v>
      </c>
      <c r="H81" s="126">
        <v>42</v>
      </c>
      <c r="L81" s="126" t="s">
        <v>1136</v>
      </c>
      <c r="M81" s="127" t="s">
        <v>1057</v>
      </c>
      <c r="N81" s="126">
        <v>52</v>
      </c>
      <c r="O81" s="126">
        <v>1</v>
      </c>
    </row>
    <row r="82" spans="1:15">
      <c r="A82" s="126" t="s">
        <v>340</v>
      </c>
      <c r="B82" s="126">
        <v>22</v>
      </c>
      <c r="G82" s="126" t="s">
        <v>708</v>
      </c>
      <c r="H82" s="126">
        <v>41</v>
      </c>
      <c r="L82" s="126" t="s">
        <v>1137</v>
      </c>
      <c r="M82" s="127" t="s">
        <v>1057</v>
      </c>
      <c r="N82" s="126">
        <v>51</v>
      </c>
      <c r="O82" s="126">
        <v>1</v>
      </c>
    </row>
    <row r="83" spans="1:15">
      <c r="A83" s="126" t="s">
        <v>341</v>
      </c>
      <c r="B83" s="126">
        <v>18</v>
      </c>
      <c r="G83" s="126" t="s">
        <v>709</v>
      </c>
      <c r="H83" s="126">
        <v>40</v>
      </c>
      <c r="L83" s="126" t="s">
        <v>1138</v>
      </c>
      <c r="M83" s="127" t="s">
        <v>1057</v>
      </c>
      <c r="N83" s="126">
        <v>50</v>
      </c>
      <c r="O83" s="126">
        <v>1</v>
      </c>
    </row>
    <row r="84" spans="1:15">
      <c r="A84" s="126" t="s">
        <v>341</v>
      </c>
      <c r="B84" s="126">
        <v>18</v>
      </c>
      <c r="G84" s="126" t="s">
        <v>710</v>
      </c>
      <c r="H84" s="126">
        <v>38</v>
      </c>
      <c r="L84" s="126" t="s">
        <v>1139</v>
      </c>
      <c r="M84" s="127" t="s">
        <v>1057</v>
      </c>
      <c r="N84" s="126">
        <v>49</v>
      </c>
      <c r="O84" s="126">
        <v>1</v>
      </c>
    </row>
    <row r="85" spans="1:15">
      <c r="A85" s="126" t="s">
        <v>342</v>
      </c>
      <c r="B85" s="126">
        <v>15</v>
      </c>
      <c r="G85" s="126" t="s">
        <v>710</v>
      </c>
      <c r="H85" s="126">
        <v>38</v>
      </c>
      <c r="L85" s="126" t="s">
        <v>1140</v>
      </c>
      <c r="M85" s="127" t="s">
        <v>1057</v>
      </c>
      <c r="N85" s="126">
        <v>48</v>
      </c>
      <c r="O85" s="126">
        <v>0</v>
      </c>
    </row>
    <row r="86" spans="1:15">
      <c r="A86" s="126" t="s">
        <v>343</v>
      </c>
      <c r="B86" s="126">
        <v>13</v>
      </c>
      <c r="G86" s="126" t="s">
        <v>711</v>
      </c>
      <c r="H86" s="126">
        <v>36</v>
      </c>
      <c r="L86" s="126" t="s">
        <v>1141</v>
      </c>
      <c r="M86" s="127" t="s">
        <v>1057</v>
      </c>
      <c r="N86" s="126">
        <v>47</v>
      </c>
      <c r="O86" s="126">
        <v>0</v>
      </c>
    </row>
    <row r="87" spans="1:15">
      <c r="A87" s="126" t="s">
        <v>344</v>
      </c>
      <c r="B87" s="126">
        <v>11</v>
      </c>
      <c r="G87" s="126" t="s">
        <v>712</v>
      </c>
      <c r="H87" s="126">
        <v>34</v>
      </c>
      <c r="L87" s="126" t="s">
        <v>1142</v>
      </c>
      <c r="M87" s="127" t="s">
        <v>1057</v>
      </c>
      <c r="N87" s="126">
        <v>46</v>
      </c>
      <c r="O87" s="126">
        <v>0</v>
      </c>
    </row>
    <row r="88" spans="1:15">
      <c r="A88" s="126" t="s">
        <v>345</v>
      </c>
      <c r="B88" s="126">
        <v>7</v>
      </c>
      <c r="G88" s="126" t="s">
        <v>712</v>
      </c>
      <c r="H88" s="126">
        <v>34</v>
      </c>
      <c r="L88" s="126" t="s">
        <v>1143</v>
      </c>
      <c r="M88" s="127" t="s">
        <v>1057</v>
      </c>
      <c r="N88" s="126">
        <v>45</v>
      </c>
      <c r="O88" s="126">
        <v>0</v>
      </c>
    </row>
    <row r="89" spans="1:15">
      <c r="A89" s="126" t="s">
        <v>345</v>
      </c>
      <c r="B89" s="126">
        <v>7</v>
      </c>
      <c r="G89" s="126" t="s">
        <v>713</v>
      </c>
      <c r="H89" s="126">
        <v>32</v>
      </c>
      <c r="L89" s="126" t="s">
        <v>1144</v>
      </c>
      <c r="M89" s="127" t="s">
        <v>1057</v>
      </c>
      <c r="N89" s="126">
        <v>44</v>
      </c>
      <c r="O89" s="126">
        <v>0</v>
      </c>
    </row>
    <row r="90" spans="1:15">
      <c r="A90" s="126" t="s">
        <v>346</v>
      </c>
      <c r="B90" s="126">
        <v>5</v>
      </c>
      <c r="G90" s="126" t="s">
        <v>714</v>
      </c>
      <c r="H90" s="126">
        <v>30</v>
      </c>
      <c r="L90" s="126" t="s">
        <v>1145</v>
      </c>
      <c r="M90" s="127" t="s">
        <v>1057</v>
      </c>
      <c r="N90" s="126">
        <v>43</v>
      </c>
      <c r="O90" s="126">
        <v>0</v>
      </c>
    </row>
    <row r="91" spans="1:15">
      <c r="A91" s="126" t="s">
        <v>347</v>
      </c>
      <c r="B91" s="126">
        <v>3</v>
      </c>
      <c r="G91" s="126" t="s">
        <v>715</v>
      </c>
      <c r="H91" s="126">
        <v>26</v>
      </c>
      <c r="L91" s="126" t="s">
        <v>1146</v>
      </c>
      <c r="M91" s="127" t="s">
        <v>1057</v>
      </c>
      <c r="N91" s="126">
        <v>42</v>
      </c>
      <c r="O91" s="126">
        <v>0</v>
      </c>
    </row>
    <row r="92" spans="1:15">
      <c r="A92" s="126" t="s">
        <v>348</v>
      </c>
      <c r="B92" s="126">
        <v>2</v>
      </c>
      <c r="G92" s="126" t="s">
        <v>715</v>
      </c>
      <c r="H92" s="126">
        <v>26</v>
      </c>
      <c r="L92" s="126" t="s">
        <v>1147</v>
      </c>
      <c r="M92" s="127" t="s">
        <v>1057</v>
      </c>
      <c r="N92" s="126">
        <v>41</v>
      </c>
      <c r="O92" s="126">
        <v>0</v>
      </c>
    </row>
    <row r="93" spans="1:15">
      <c r="A93" s="126" t="s">
        <v>349</v>
      </c>
      <c r="B93" s="126">
        <v>1</v>
      </c>
      <c r="G93" s="126" t="s">
        <v>716</v>
      </c>
      <c r="H93" s="126">
        <v>22</v>
      </c>
      <c r="L93" s="126" t="s">
        <v>1148</v>
      </c>
      <c r="M93" s="127" t="s">
        <v>1057</v>
      </c>
      <c r="N93" s="126">
        <v>40</v>
      </c>
      <c r="O93" s="126">
        <v>0</v>
      </c>
    </row>
    <row r="94" spans="1:15">
      <c r="A94" s="126" t="s">
        <v>349</v>
      </c>
      <c r="B94" s="126">
        <v>1</v>
      </c>
      <c r="G94" s="126" t="s">
        <v>717</v>
      </c>
      <c r="H94" s="126">
        <v>18</v>
      </c>
      <c r="L94" s="126" t="s">
        <v>1149</v>
      </c>
      <c r="M94" s="127" t="s">
        <v>1057</v>
      </c>
      <c r="N94" s="126">
        <v>39</v>
      </c>
      <c r="O94" s="126">
        <v>0</v>
      </c>
    </row>
    <row r="95" spans="1:15">
      <c r="A95" s="126" t="s">
        <v>350</v>
      </c>
      <c r="B95" s="126">
        <v>1</v>
      </c>
      <c r="G95" s="126" t="s">
        <v>717</v>
      </c>
      <c r="H95" s="126">
        <v>18</v>
      </c>
      <c r="L95" s="126" t="s">
        <v>1150</v>
      </c>
      <c r="M95" s="127" t="s">
        <v>1057</v>
      </c>
      <c r="N95" s="126">
        <v>38</v>
      </c>
      <c r="O95" s="126">
        <v>0</v>
      </c>
    </row>
    <row r="96" spans="1:15">
      <c r="A96" s="126" t="s">
        <v>351</v>
      </c>
      <c r="B96" s="126">
        <v>0</v>
      </c>
      <c r="G96" s="126" t="s">
        <v>718</v>
      </c>
      <c r="H96" s="126">
        <v>13</v>
      </c>
      <c r="L96" s="126" t="s">
        <v>1151</v>
      </c>
      <c r="M96" s="127" t="s">
        <v>1057</v>
      </c>
      <c r="N96" s="126">
        <v>37</v>
      </c>
      <c r="O96" s="126">
        <v>0</v>
      </c>
    </row>
    <row r="97" spans="1:15">
      <c r="A97" s="126" t="s">
        <v>352</v>
      </c>
      <c r="B97" s="126">
        <v>0</v>
      </c>
      <c r="G97" s="126" t="s">
        <v>719</v>
      </c>
      <c r="H97" s="126">
        <v>10</v>
      </c>
      <c r="L97" s="126" t="s">
        <v>1152</v>
      </c>
      <c r="M97" s="127" t="s">
        <v>1057</v>
      </c>
      <c r="N97" s="126">
        <v>36</v>
      </c>
      <c r="O97" s="126">
        <v>0</v>
      </c>
    </row>
    <row r="98" spans="1:15">
      <c r="A98" s="126" t="s">
        <v>353</v>
      </c>
      <c r="B98" s="126">
        <v>0</v>
      </c>
      <c r="G98" s="126" t="s">
        <v>720</v>
      </c>
      <c r="H98" s="126">
        <v>5</v>
      </c>
      <c r="L98" s="126" t="s">
        <v>1153</v>
      </c>
      <c r="M98" s="127" t="s">
        <v>1057</v>
      </c>
      <c r="N98" s="126">
        <v>35</v>
      </c>
      <c r="O98" s="126">
        <v>0</v>
      </c>
    </row>
    <row r="99" spans="1:15">
      <c r="A99" s="126" t="s">
        <v>354</v>
      </c>
      <c r="B99" s="126">
        <v>98</v>
      </c>
      <c r="G99" s="126" t="s">
        <v>720</v>
      </c>
      <c r="H99" s="126">
        <v>5</v>
      </c>
      <c r="L99" s="126" t="s">
        <v>1154</v>
      </c>
      <c r="M99" s="127" t="s">
        <v>1057</v>
      </c>
      <c r="N99" s="126">
        <v>33</v>
      </c>
      <c r="O99" s="126">
        <v>0</v>
      </c>
    </row>
    <row r="100" spans="1:15">
      <c r="A100" s="126" t="s">
        <v>355</v>
      </c>
      <c r="B100" s="126">
        <v>94</v>
      </c>
      <c r="G100" s="126" t="s">
        <v>721</v>
      </c>
      <c r="H100" s="126">
        <v>2</v>
      </c>
      <c r="L100" s="126" t="s">
        <v>1155</v>
      </c>
      <c r="M100" s="127" t="s">
        <v>1156</v>
      </c>
      <c r="N100" s="126">
        <v>131</v>
      </c>
      <c r="O100" s="126">
        <v>100</v>
      </c>
    </row>
    <row r="101" spans="1:15">
      <c r="A101" s="126" t="s">
        <v>355</v>
      </c>
      <c r="B101" s="126">
        <v>94</v>
      </c>
      <c r="G101" s="126" t="s">
        <v>722</v>
      </c>
      <c r="H101" s="126">
        <v>1</v>
      </c>
      <c r="L101" s="126" t="s">
        <v>1157</v>
      </c>
      <c r="M101" s="127" t="s">
        <v>1156</v>
      </c>
      <c r="N101" s="126">
        <v>129</v>
      </c>
      <c r="O101" s="126">
        <v>98</v>
      </c>
    </row>
    <row r="102" spans="1:15">
      <c r="A102" s="126" t="s">
        <v>356</v>
      </c>
      <c r="B102" s="126">
        <v>91</v>
      </c>
      <c r="G102" s="126" t="s">
        <v>723</v>
      </c>
      <c r="H102" s="126">
        <v>1</v>
      </c>
      <c r="L102" s="126" t="s">
        <v>1158</v>
      </c>
      <c r="M102" s="127" t="s">
        <v>1156</v>
      </c>
      <c r="N102" s="126">
        <v>128</v>
      </c>
      <c r="O102" s="126">
        <v>97</v>
      </c>
    </row>
    <row r="103" spans="1:15">
      <c r="A103" s="126" t="s">
        <v>357</v>
      </c>
      <c r="B103" s="126">
        <v>89</v>
      </c>
      <c r="G103" s="126" t="s">
        <v>723</v>
      </c>
      <c r="H103" s="126">
        <v>1</v>
      </c>
      <c r="L103" s="126" t="s">
        <v>1159</v>
      </c>
      <c r="M103" s="127" t="s">
        <v>1156</v>
      </c>
      <c r="N103" s="126">
        <v>127</v>
      </c>
      <c r="O103" s="126">
        <v>96</v>
      </c>
    </row>
    <row r="104" spans="1:15">
      <c r="A104" s="126" t="s">
        <v>358</v>
      </c>
      <c r="B104" s="126">
        <v>86</v>
      </c>
      <c r="G104" s="126" t="s">
        <v>724</v>
      </c>
      <c r="H104" s="126">
        <v>0</v>
      </c>
      <c r="L104" s="126" t="s">
        <v>1160</v>
      </c>
      <c r="M104" s="127" t="s">
        <v>1156</v>
      </c>
      <c r="N104" s="126">
        <v>126</v>
      </c>
      <c r="O104" s="126">
        <v>94</v>
      </c>
    </row>
    <row r="105" spans="1:15">
      <c r="A105" s="126" t="s">
        <v>359</v>
      </c>
      <c r="B105" s="126">
        <v>82</v>
      </c>
      <c r="G105" s="126" t="s">
        <v>724</v>
      </c>
      <c r="H105" s="126">
        <v>0</v>
      </c>
      <c r="L105" s="126" t="s">
        <v>1161</v>
      </c>
      <c r="M105" s="127" t="s">
        <v>1156</v>
      </c>
      <c r="N105" s="126">
        <v>124</v>
      </c>
      <c r="O105" s="126">
        <v>93</v>
      </c>
    </row>
    <row r="106" spans="1:15">
      <c r="A106" s="126" t="s">
        <v>359</v>
      </c>
      <c r="B106" s="126">
        <v>82</v>
      </c>
      <c r="G106" s="126" t="s">
        <v>725</v>
      </c>
      <c r="H106" s="126">
        <v>0</v>
      </c>
      <c r="L106" s="126" t="s">
        <v>1162</v>
      </c>
      <c r="M106" s="127" t="s">
        <v>1156</v>
      </c>
      <c r="N106" s="126">
        <v>123</v>
      </c>
      <c r="O106" s="126">
        <v>91</v>
      </c>
    </row>
    <row r="107" spans="1:15">
      <c r="A107" s="126" t="s">
        <v>360</v>
      </c>
      <c r="B107" s="126">
        <v>78</v>
      </c>
      <c r="G107" s="126" t="s">
        <v>725</v>
      </c>
      <c r="H107" s="126">
        <v>0</v>
      </c>
      <c r="L107" s="126" t="s">
        <v>1163</v>
      </c>
      <c r="M107" s="127" t="s">
        <v>1156</v>
      </c>
      <c r="N107" s="126">
        <v>122</v>
      </c>
      <c r="O107" s="126">
        <v>89</v>
      </c>
    </row>
    <row r="108" spans="1:15">
      <c r="A108" s="126" t="s">
        <v>361</v>
      </c>
      <c r="B108" s="126">
        <v>76</v>
      </c>
      <c r="G108" s="126" t="s">
        <v>726</v>
      </c>
      <c r="H108" s="126">
        <v>99</v>
      </c>
      <c r="L108" s="126" t="s">
        <v>1164</v>
      </c>
      <c r="M108" s="127" t="s">
        <v>1156</v>
      </c>
      <c r="N108" s="126">
        <v>121</v>
      </c>
      <c r="O108" s="126">
        <v>87</v>
      </c>
    </row>
    <row r="109" spans="1:15">
      <c r="A109" s="126" t="s">
        <v>362</v>
      </c>
      <c r="B109" s="126">
        <v>73</v>
      </c>
      <c r="G109" s="126" t="s">
        <v>727</v>
      </c>
      <c r="H109" s="126">
        <v>98</v>
      </c>
      <c r="L109" s="126" t="s">
        <v>1165</v>
      </c>
      <c r="M109" s="127" t="s">
        <v>1156</v>
      </c>
      <c r="N109" s="126">
        <v>120</v>
      </c>
      <c r="O109" s="126">
        <v>84</v>
      </c>
    </row>
    <row r="110" spans="1:15">
      <c r="A110" s="126" t="s">
        <v>363</v>
      </c>
      <c r="B110" s="126">
        <v>69</v>
      </c>
      <c r="G110" s="126" t="s">
        <v>728</v>
      </c>
      <c r="H110" s="126">
        <v>97</v>
      </c>
      <c r="L110" s="126" t="s">
        <v>1166</v>
      </c>
      <c r="M110" s="127" t="s">
        <v>1156</v>
      </c>
      <c r="N110" s="126">
        <v>119</v>
      </c>
      <c r="O110" s="126">
        <v>82</v>
      </c>
    </row>
    <row r="111" spans="1:15">
      <c r="A111" s="126" t="s">
        <v>363</v>
      </c>
      <c r="B111" s="126">
        <v>69</v>
      </c>
      <c r="G111" s="126" t="s">
        <v>729</v>
      </c>
      <c r="H111" s="126">
        <v>96</v>
      </c>
      <c r="L111" s="126" t="s">
        <v>1167</v>
      </c>
      <c r="M111" s="127" t="s">
        <v>1156</v>
      </c>
      <c r="N111" s="126">
        <v>118</v>
      </c>
      <c r="O111" s="126">
        <v>80</v>
      </c>
    </row>
    <row r="112" spans="1:15">
      <c r="A112" s="126" t="s">
        <v>364</v>
      </c>
      <c r="B112" s="126">
        <v>66</v>
      </c>
      <c r="G112" s="126" t="s">
        <v>730</v>
      </c>
      <c r="H112" s="126">
        <v>94</v>
      </c>
      <c r="L112" s="126" t="s">
        <v>1168</v>
      </c>
      <c r="M112" s="127" t="s">
        <v>1156</v>
      </c>
      <c r="N112" s="126">
        <v>117</v>
      </c>
      <c r="O112" s="126">
        <v>78</v>
      </c>
    </row>
    <row r="113" spans="1:15">
      <c r="A113" s="126" t="s">
        <v>365</v>
      </c>
      <c r="B113" s="126">
        <v>64</v>
      </c>
      <c r="G113" s="126" t="s">
        <v>730</v>
      </c>
      <c r="H113" s="126">
        <v>94</v>
      </c>
      <c r="L113" s="126" t="s">
        <v>1169</v>
      </c>
      <c r="M113" s="127" t="s">
        <v>1156</v>
      </c>
      <c r="N113" s="126">
        <v>116</v>
      </c>
      <c r="O113" s="126">
        <v>75</v>
      </c>
    </row>
    <row r="114" spans="1:15">
      <c r="A114" s="126" t="s">
        <v>366</v>
      </c>
      <c r="B114" s="126">
        <v>60</v>
      </c>
      <c r="G114" s="126" t="s">
        <v>731</v>
      </c>
      <c r="H114" s="126">
        <v>91</v>
      </c>
      <c r="L114" s="126" t="s">
        <v>1170</v>
      </c>
      <c r="M114" s="127" t="s">
        <v>1156</v>
      </c>
      <c r="N114" s="126">
        <v>115</v>
      </c>
      <c r="O114" s="126">
        <v>73</v>
      </c>
    </row>
    <row r="115" spans="1:15">
      <c r="A115" s="126" t="s">
        <v>366</v>
      </c>
      <c r="B115" s="126">
        <v>60</v>
      </c>
      <c r="G115" s="126" t="s">
        <v>732</v>
      </c>
      <c r="H115" s="126">
        <v>90</v>
      </c>
      <c r="L115" s="126" t="s">
        <v>1171</v>
      </c>
      <c r="M115" s="127" t="s">
        <v>1156</v>
      </c>
      <c r="N115" s="126">
        <v>114</v>
      </c>
      <c r="O115" s="126">
        <v>71</v>
      </c>
    </row>
    <row r="116" spans="1:15">
      <c r="A116" s="126" t="s">
        <v>367</v>
      </c>
      <c r="B116" s="126">
        <v>57</v>
      </c>
      <c r="G116" s="126" t="s">
        <v>733</v>
      </c>
      <c r="H116" s="126">
        <v>89</v>
      </c>
      <c r="L116" s="126" t="s">
        <v>1172</v>
      </c>
      <c r="M116" s="127" t="s">
        <v>1156</v>
      </c>
      <c r="N116" s="126">
        <v>113</v>
      </c>
      <c r="O116" s="126">
        <v>69</v>
      </c>
    </row>
    <row r="117" spans="1:15">
      <c r="A117" s="126" t="s">
        <v>368</v>
      </c>
      <c r="B117" s="126">
        <v>55</v>
      </c>
      <c r="G117" s="126" t="s">
        <v>734</v>
      </c>
      <c r="H117" s="126">
        <v>88</v>
      </c>
      <c r="L117" s="126" t="s">
        <v>1173</v>
      </c>
      <c r="M117" s="127" t="s">
        <v>1156</v>
      </c>
      <c r="N117" s="126">
        <v>112</v>
      </c>
      <c r="O117" s="126">
        <v>67</v>
      </c>
    </row>
    <row r="118" spans="1:15">
      <c r="A118" s="126" t="s">
        <v>369</v>
      </c>
      <c r="B118" s="126">
        <v>53</v>
      </c>
      <c r="G118" s="126" t="s">
        <v>734</v>
      </c>
      <c r="H118" s="126">
        <v>88</v>
      </c>
      <c r="L118" s="126" t="s">
        <v>1174</v>
      </c>
      <c r="M118" s="127" t="s">
        <v>1156</v>
      </c>
      <c r="N118" s="126">
        <v>111</v>
      </c>
      <c r="O118" s="126">
        <v>64</v>
      </c>
    </row>
    <row r="119" spans="1:15">
      <c r="A119" s="126" t="s">
        <v>370</v>
      </c>
      <c r="B119" s="126">
        <v>50</v>
      </c>
      <c r="G119" s="126" t="s">
        <v>735</v>
      </c>
      <c r="H119" s="126">
        <v>87</v>
      </c>
      <c r="L119" s="126" t="s">
        <v>1175</v>
      </c>
      <c r="M119" s="127" t="s">
        <v>1156</v>
      </c>
      <c r="N119" s="126">
        <v>110</v>
      </c>
      <c r="O119" s="126">
        <v>62</v>
      </c>
    </row>
    <row r="120" spans="1:15">
      <c r="A120" s="126" t="s">
        <v>370</v>
      </c>
      <c r="B120" s="126">
        <v>50</v>
      </c>
      <c r="G120" s="126" t="s">
        <v>736</v>
      </c>
      <c r="H120" s="126">
        <v>86</v>
      </c>
      <c r="L120" s="126" t="s">
        <v>1176</v>
      </c>
      <c r="M120" s="127" t="s">
        <v>1156</v>
      </c>
      <c r="N120" s="126">
        <v>109</v>
      </c>
      <c r="O120" s="126">
        <v>60</v>
      </c>
    </row>
    <row r="121" spans="1:15">
      <c r="A121" s="126" t="s">
        <v>371</v>
      </c>
      <c r="B121" s="126">
        <v>47</v>
      </c>
      <c r="G121" s="126" t="s">
        <v>737</v>
      </c>
      <c r="H121" s="126">
        <v>86</v>
      </c>
      <c r="L121" s="126" t="s">
        <v>1177</v>
      </c>
      <c r="M121" s="127" t="s">
        <v>1156</v>
      </c>
      <c r="N121" s="126">
        <v>108</v>
      </c>
      <c r="O121" s="126">
        <v>58</v>
      </c>
    </row>
    <row r="122" spans="1:15">
      <c r="A122" s="126" t="s">
        <v>372</v>
      </c>
      <c r="B122" s="126">
        <v>45</v>
      </c>
      <c r="G122" s="126" t="s">
        <v>737</v>
      </c>
      <c r="H122" s="126">
        <v>86</v>
      </c>
      <c r="L122" s="126" t="s">
        <v>1178</v>
      </c>
      <c r="M122" s="127" t="s">
        <v>1156</v>
      </c>
      <c r="N122" s="126">
        <v>107</v>
      </c>
      <c r="O122" s="126">
        <v>56</v>
      </c>
    </row>
    <row r="123" spans="1:15">
      <c r="A123" s="126" t="s">
        <v>373</v>
      </c>
      <c r="B123" s="126">
        <v>41</v>
      </c>
      <c r="G123" s="126" t="s">
        <v>738</v>
      </c>
      <c r="H123" s="126">
        <v>85</v>
      </c>
      <c r="L123" s="126" t="s">
        <v>1179</v>
      </c>
      <c r="M123" s="127" t="s">
        <v>1156</v>
      </c>
      <c r="N123" s="126">
        <v>106</v>
      </c>
      <c r="O123" s="126">
        <v>54</v>
      </c>
    </row>
    <row r="124" spans="1:15">
      <c r="A124" s="126" t="s">
        <v>373</v>
      </c>
      <c r="B124" s="126">
        <v>41</v>
      </c>
      <c r="G124" s="126" t="s">
        <v>739</v>
      </c>
      <c r="H124" s="126">
        <v>85</v>
      </c>
      <c r="L124" s="126" t="s">
        <v>1180</v>
      </c>
      <c r="M124" s="127" t="s">
        <v>1156</v>
      </c>
      <c r="N124" s="126">
        <v>105</v>
      </c>
      <c r="O124" s="126">
        <v>52</v>
      </c>
    </row>
    <row r="125" spans="1:15">
      <c r="A125" s="126" t="s">
        <v>374</v>
      </c>
      <c r="B125" s="126">
        <v>38</v>
      </c>
      <c r="G125" s="126" t="s">
        <v>740</v>
      </c>
      <c r="H125" s="126">
        <v>85</v>
      </c>
      <c r="L125" s="126" t="s">
        <v>1181</v>
      </c>
      <c r="M125" s="127" t="s">
        <v>1156</v>
      </c>
      <c r="N125" s="126">
        <v>104</v>
      </c>
      <c r="O125" s="126">
        <v>50</v>
      </c>
    </row>
    <row r="126" spans="1:15">
      <c r="A126" s="126" t="s">
        <v>375</v>
      </c>
      <c r="B126" s="126">
        <v>36</v>
      </c>
      <c r="G126" s="126" t="s">
        <v>741</v>
      </c>
      <c r="H126" s="126">
        <v>85</v>
      </c>
      <c r="L126" s="126" t="s">
        <v>1182</v>
      </c>
      <c r="M126" s="127" t="s">
        <v>1156</v>
      </c>
      <c r="N126" s="126">
        <v>103</v>
      </c>
      <c r="O126" s="126">
        <v>49</v>
      </c>
    </row>
    <row r="127" spans="1:15">
      <c r="A127" s="126" t="s">
        <v>376</v>
      </c>
      <c r="B127" s="126">
        <v>33</v>
      </c>
      <c r="G127" s="126" t="s">
        <v>741</v>
      </c>
      <c r="H127" s="126">
        <v>85</v>
      </c>
      <c r="L127" s="126" t="s">
        <v>1183</v>
      </c>
      <c r="M127" s="127" t="s">
        <v>1156</v>
      </c>
      <c r="N127" s="126">
        <v>102</v>
      </c>
      <c r="O127" s="126">
        <v>47</v>
      </c>
    </row>
    <row r="128" spans="1:15">
      <c r="A128" s="126" t="s">
        <v>377</v>
      </c>
      <c r="B128" s="126">
        <v>30</v>
      </c>
      <c r="G128" s="126" t="s">
        <v>742</v>
      </c>
      <c r="H128" s="126">
        <v>84</v>
      </c>
      <c r="L128" s="126" t="s">
        <v>1184</v>
      </c>
      <c r="M128" s="127" t="s">
        <v>1156</v>
      </c>
      <c r="N128" s="126">
        <v>101</v>
      </c>
      <c r="O128" s="126">
        <v>45</v>
      </c>
    </row>
    <row r="129" spans="1:15">
      <c r="A129" s="126" t="s">
        <v>377</v>
      </c>
      <c r="B129" s="126">
        <v>30</v>
      </c>
      <c r="G129" s="126" t="s">
        <v>743</v>
      </c>
      <c r="H129" s="126">
        <v>84</v>
      </c>
      <c r="L129" s="126" t="s">
        <v>1185</v>
      </c>
      <c r="M129" s="127" t="s">
        <v>1156</v>
      </c>
      <c r="N129" s="126">
        <v>100</v>
      </c>
      <c r="O129" s="126">
        <v>43</v>
      </c>
    </row>
    <row r="130" spans="1:15">
      <c r="A130" s="126" t="s">
        <v>378</v>
      </c>
      <c r="B130" s="126">
        <v>26</v>
      </c>
      <c r="G130" s="126" t="s">
        <v>744</v>
      </c>
      <c r="H130" s="126">
        <v>84</v>
      </c>
      <c r="L130" s="126" t="s">
        <v>1186</v>
      </c>
      <c r="M130" s="127" t="s">
        <v>1156</v>
      </c>
      <c r="N130" s="126">
        <v>99</v>
      </c>
      <c r="O130" s="126">
        <v>42</v>
      </c>
    </row>
    <row r="131" spans="1:15">
      <c r="A131" s="126" t="s">
        <v>379</v>
      </c>
      <c r="B131" s="126">
        <v>24</v>
      </c>
      <c r="G131" s="126" t="s">
        <v>745</v>
      </c>
      <c r="H131" s="126">
        <v>84</v>
      </c>
      <c r="L131" s="126" t="s">
        <v>1187</v>
      </c>
      <c r="M131" s="127" t="s">
        <v>1156</v>
      </c>
      <c r="N131" s="126">
        <v>98</v>
      </c>
      <c r="O131" s="126">
        <v>40</v>
      </c>
    </row>
    <row r="132" spans="1:15">
      <c r="A132" s="126" t="s">
        <v>380</v>
      </c>
      <c r="B132" s="126">
        <v>21</v>
      </c>
      <c r="G132" s="126" t="s">
        <v>746</v>
      </c>
      <c r="H132" s="126">
        <v>83</v>
      </c>
      <c r="L132" s="126" t="s">
        <v>1188</v>
      </c>
      <c r="M132" s="127" t="s">
        <v>1156</v>
      </c>
      <c r="N132" s="126">
        <v>97</v>
      </c>
      <c r="O132" s="126">
        <v>38</v>
      </c>
    </row>
    <row r="133" spans="1:15">
      <c r="A133" s="126" t="s">
        <v>381</v>
      </c>
      <c r="B133" s="126">
        <v>18</v>
      </c>
      <c r="G133" s="126" t="s">
        <v>746</v>
      </c>
      <c r="H133" s="126">
        <v>83</v>
      </c>
      <c r="L133" s="126" t="s">
        <v>1189</v>
      </c>
      <c r="M133" s="127" t="s">
        <v>1156</v>
      </c>
      <c r="N133" s="126">
        <v>96</v>
      </c>
      <c r="O133" s="126">
        <v>37</v>
      </c>
    </row>
    <row r="134" spans="1:15">
      <c r="A134" s="126" t="s">
        <v>381</v>
      </c>
      <c r="B134" s="126">
        <v>18</v>
      </c>
      <c r="G134" s="126" t="s">
        <v>747</v>
      </c>
      <c r="H134" s="126">
        <v>83</v>
      </c>
      <c r="L134" s="126" t="s">
        <v>1190</v>
      </c>
      <c r="M134" s="127" t="s">
        <v>1156</v>
      </c>
      <c r="N134" s="126">
        <v>95</v>
      </c>
      <c r="O134" s="126">
        <v>35</v>
      </c>
    </row>
    <row r="135" spans="1:15">
      <c r="A135" s="126" t="s">
        <v>382</v>
      </c>
      <c r="B135" s="126">
        <v>14</v>
      </c>
      <c r="G135" s="126" t="s">
        <v>748</v>
      </c>
      <c r="H135" s="126">
        <v>83</v>
      </c>
      <c r="L135" s="126" t="s">
        <v>1191</v>
      </c>
      <c r="M135" s="127" t="s">
        <v>1156</v>
      </c>
      <c r="N135" s="126">
        <v>94</v>
      </c>
      <c r="O135" s="126">
        <v>34</v>
      </c>
    </row>
    <row r="136" spans="1:15">
      <c r="A136" s="126" t="s">
        <v>383</v>
      </c>
      <c r="B136" s="126">
        <v>12</v>
      </c>
      <c r="G136" s="126" t="s">
        <v>749</v>
      </c>
      <c r="H136" s="126">
        <v>83</v>
      </c>
      <c r="L136" s="126" t="s">
        <v>1192</v>
      </c>
      <c r="M136" s="127" t="s">
        <v>1156</v>
      </c>
      <c r="N136" s="126">
        <v>93</v>
      </c>
      <c r="O136" s="126">
        <v>32</v>
      </c>
    </row>
    <row r="137" spans="1:15">
      <c r="A137" s="126" t="s">
        <v>384</v>
      </c>
      <c r="B137" s="126">
        <v>8</v>
      </c>
      <c r="G137" s="126" t="s">
        <v>750</v>
      </c>
      <c r="H137" s="126">
        <v>82</v>
      </c>
      <c r="L137" s="126" t="s">
        <v>1193</v>
      </c>
      <c r="M137" s="127" t="s">
        <v>1156</v>
      </c>
      <c r="N137" s="126">
        <v>92</v>
      </c>
      <c r="O137" s="126">
        <v>31</v>
      </c>
    </row>
    <row r="138" spans="1:15">
      <c r="A138" s="126" t="s">
        <v>384</v>
      </c>
      <c r="B138" s="126">
        <v>8</v>
      </c>
      <c r="G138" s="126" t="s">
        <v>750</v>
      </c>
      <c r="H138" s="126">
        <v>82</v>
      </c>
      <c r="L138" s="126" t="s">
        <v>1194</v>
      </c>
      <c r="M138" s="127" t="s">
        <v>1156</v>
      </c>
      <c r="N138" s="126">
        <v>91</v>
      </c>
      <c r="O138" s="126">
        <v>30</v>
      </c>
    </row>
    <row r="139" spans="1:15">
      <c r="A139" s="126" t="s">
        <v>385</v>
      </c>
      <c r="B139" s="126">
        <v>6</v>
      </c>
      <c r="G139" s="126" t="s">
        <v>751</v>
      </c>
      <c r="H139" s="126">
        <v>80</v>
      </c>
      <c r="L139" s="126" t="s">
        <v>1195</v>
      </c>
      <c r="M139" s="127" t="s">
        <v>1156</v>
      </c>
      <c r="N139" s="126">
        <v>90</v>
      </c>
      <c r="O139" s="126">
        <v>28</v>
      </c>
    </row>
    <row r="140" spans="1:15">
      <c r="A140" s="126" t="s">
        <v>386</v>
      </c>
      <c r="B140" s="126">
        <v>4</v>
      </c>
      <c r="G140" s="126" t="s">
        <v>752</v>
      </c>
      <c r="H140" s="126">
        <v>78</v>
      </c>
      <c r="L140" s="126" t="s">
        <v>1196</v>
      </c>
      <c r="M140" s="127" t="s">
        <v>1156</v>
      </c>
      <c r="N140" s="126">
        <v>89</v>
      </c>
      <c r="O140" s="126">
        <v>27</v>
      </c>
    </row>
    <row r="141" spans="1:15">
      <c r="A141" s="126" t="s">
        <v>387</v>
      </c>
      <c r="B141" s="126">
        <v>3</v>
      </c>
      <c r="G141" s="126" t="s">
        <v>753</v>
      </c>
      <c r="H141" s="126">
        <v>75</v>
      </c>
      <c r="L141" s="126" t="s">
        <v>1197</v>
      </c>
      <c r="M141" s="127" t="s">
        <v>1156</v>
      </c>
      <c r="N141" s="126">
        <v>88</v>
      </c>
      <c r="O141" s="126">
        <v>26</v>
      </c>
    </row>
    <row r="142" spans="1:15">
      <c r="A142" s="126" t="s">
        <v>388</v>
      </c>
      <c r="B142" s="126">
        <v>2</v>
      </c>
      <c r="G142" s="126" t="s">
        <v>754</v>
      </c>
      <c r="H142" s="126">
        <v>70</v>
      </c>
      <c r="L142" s="126" t="s">
        <v>1198</v>
      </c>
      <c r="M142" s="127" t="s">
        <v>1156</v>
      </c>
      <c r="N142" s="126">
        <v>87</v>
      </c>
      <c r="O142" s="126">
        <v>25</v>
      </c>
    </row>
    <row r="143" spans="1:15">
      <c r="A143" s="126" t="s">
        <v>388</v>
      </c>
      <c r="B143" s="126">
        <v>2</v>
      </c>
      <c r="G143" s="126" t="s">
        <v>754</v>
      </c>
      <c r="H143" s="126">
        <v>70</v>
      </c>
      <c r="L143" s="126" t="s">
        <v>1199</v>
      </c>
      <c r="M143" s="127" t="s">
        <v>1156</v>
      </c>
      <c r="N143" s="126">
        <v>86</v>
      </c>
      <c r="O143" s="126">
        <v>23</v>
      </c>
    </row>
    <row r="144" spans="1:15">
      <c r="A144" s="126" t="s">
        <v>389</v>
      </c>
      <c r="B144" s="126">
        <v>1</v>
      </c>
      <c r="G144" s="126" t="s">
        <v>755</v>
      </c>
      <c r="H144" s="126">
        <v>63</v>
      </c>
      <c r="L144" s="126" t="s">
        <v>1200</v>
      </c>
      <c r="M144" s="127" t="s">
        <v>1156</v>
      </c>
      <c r="N144" s="126">
        <v>85</v>
      </c>
      <c r="O144" s="126">
        <v>22</v>
      </c>
    </row>
    <row r="145" spans="1:15">
      <c r="A145" s="126" t="s">
        <v>390</v>
      </c>
      <c r="B145" s="126">
        <v>0</v>
      </c>
      <c r="G145" s="126" t="s">
        <v>756</v>
      </c>
      <c r="H145" s="126">
        <v>57</v>
      </c>
      <c r="L145" s="126" t="s">
        <v>1201</v>
      </c>
      <c r="M145" s="127" t="s">
        <v>1156</v>
      </c>
      <c r="N145" s="126">
        <v>84</v>
      </c>
      <c r="O145" s="126">
        <v>21</v>
      </c>
    </row>
    <row r="146" spans="1:15">
      <c r="A146" s="126" t="s">
        <v>391</v>
      </c>
      <c r="B146" s="126">
        <v>0</v>
      </c>
      <c r="G146" s="126" t="s">
        <v>757</v>
      </c>
      <c r="H146" s="126">
        <v>49</v>
      </c>
      <c r="L146" s="126" t="s">
        <v>1202</v>
      </c>
      <c r="M146" s="127" t="s">
        <v>1156</v>
      </c>
      <c r="N146" s="126">
        <v>83</v>
      </c>
      <c r="O146" s="126">
        <v>20</v>
      </c>
    </row>
    <row r="147" spans="1:15">
      <c r="A147" s="126" t="s">
        <v>392</v>
      </c>
      <c r="B147" s="126">
        <v>0</v>
      </c>
      <c r="G147" s="126" t="s">
        <v>758</v>
      </c>
      <c r="H147" s="126">
        <v>37</v>
      </c>
      <c r="L147" s="126" t="s">
        <v>1203</v>
      </c>
      <c r="M147" s="127" t="s">
        <v>1156</v>
      </c>
      <c r="N147" s="126">
        <v>82</v>
      </c>
      <c r="O147" s="126">
        <v>19</v>
      </c>
    </row>
    <row r="148" spans="1:15">
      <c r="A148" s="126" t="s">
        <v>393</v>
      </c>
      <c r="B148" s="126">
        <v>98</v>
      </c>
      <c r="G148" s="126" t="s">
        <v>758</v>
      </c>
      <c r="H148" s="126">
        <v>37</v>
      </c>
      <c r="L148" s="126" t="s">
        <v>1204</v>
      </c>
      <c r="M148" s="127" t="s">
        <v>1156</v>
      </c>
      <c r="N148" s="126">
        <v>81</v>
      </c>
      <c r="O148" s="126">
        <v>18</v>
      </c>
    </row>
    <row r="149" spans="1:15">
      <c r="A149" s="126" t="s">
        <v>394</v>
      </c>
      <c r="B149" s="126">
        <v>96</v>
      </c>
      <c r="G149" s="126" t="s">
        <v>759</v>
      </c>
      <c r="H149" s="126">
        <v>24</v>
      </c>
      <c r="L149" s="126" t="s">
        <v>1205</v>
      </c>
      <c r="M149" s="127" t="s">
        <v>1156</v>
      </c>
      <c r="N149" s="126">
        <v>79</v>
      </c>
      <c r="O149" s="126">
        <v>17</v>
      </c>
    </row>
    <row r="150" spans="1:15">
      <c r="A150" s="126" t="s">
        <v>395</v>
      </c>
      <c r="B150" s="126">
        <v>93</v>
      </c>
      <c r="G150" s="126" t="s">
        <v>760</v>
      </c>
      <c r="H150" s="126">
        <v>15</v>
      </c>
      <c r="L150" s="126" t="s">
        <v>1206</v>
      </c>
      <c r="M150" s="127" t="s">
        <v>1156</v>
      </c>
      <c r="N150" s="126">
        <v>78</v>
      </c>
      <c r="O150" s="126">
        <v>16</v>
      </c>
    </row>
    <row r="151" spans="1:15">
      <c r="A151" s="126" t="s">
        <v>396</v>
      </c>
      <c r="B151" s="126">
        <v>91</v>
      </c>
      <c r="G151" s="126" t="s">
        <v>761</v>
      </c>
      <c r="H151" s="126">
        <v>9</v>
      </c>
      <c r="L151" s="126" t="s">
        <v>1207</v>
      </c>
      <c r="M151" s="127" t="s">
        <v>1156</v>
      </c>
      <c r="N151" s="126">
        <v>77</v>
      </c>
      <c r="O151" s="126">
        <v>15</v>
      </c>
    </row>
    <row r="152" spans="1:15">
      <c r="A152" s="126" t="s">
        <v>397</v>
      </c>
      <c r="B152" s="126">
        <v>87</v>
      </c>
      <c r="G152" s="126" t="s">
        <v>762</v>
      </c>
      <c r="H152" s="126">
        <v>5</v>
      </c>
      <c r="L152" s="126" t="s">
        <v>1208</v>
      </c>
      <c r="M152" s="127" t="s">
        <v>1156</v>
      </c>
      <c r="N152" s="126">
        <v>76</v>
      </c>
      <c r="O152" s="126">
        <v>14</v>
      </c>
    </row>
    <row r="153" spans="1:15">
      <c r="A153" s="126" t="s">
        <v>397</v>
      </c>
      <c r="B153" s="126">
        <v>87</v>
      </c>
      <c r="G153" s="126" t="s">
        <v>762</v>
      </c>
      <c r="H153" s="126">
        <v>5</v>
      </c>
      <c r="L153" s="126" t="s">
        <v>1209</v>
      </c>
      <c r="M153" s="127" t="s">
        <v>1156</v>
      </c>
      <c r="N153" s="126">
        <v>75</v>
      </c>
      <c r="O153" s="126">
        <v>14</v>
      </c>
    </row>
    <row r="154" spans="1:15">
      <c r="A154" s="126" t="s">
        <v>398</v>
      </c>
      <c r="B154" s="126">
        <v>83</v>
      </c>
      <c r="G154" s="126" t="s">
        <v>763</v>
      </c>
      <c r="H154" s="126">
        <v>2</v>
      </c>
      <c r="L154" s="126" t="s">
        <v>1210</v>
      </c>
      <c r="M154" s="127" t="s">
        <v>1156</v>
      </c>
      <c r="N154" s="126">
        <v>74</v>
      </c>
      <c r="O154" s="126">
        <v>13</v>
      </c>
    </row>
    <row r="155" spans="1:15">
      <c r="A155" s="126" t="s">
        <v>399</v>
      </c>
      <c r="B155" s="126">
        <v>81</v>
      </c>
      <c r="G155" s="126" t="s">
        <v>764</v>
      </c>
      <c r="H155" s="126">
        <v>1</v>
      </c>
      <c r="L155" s="126" t="s">
        <v>1211</v>
      </c>
      <c r="M155" s="127" t="s">
        <v>1156</v>
      </c>
      <c r="N155" s="126">
        <v>73</v>
      </c>
      <c r="O155" s="126">
        <v>12</v>
      </c>
    </row>
    <row r="156" spans="1:15">
      <c r="A156" s="126" t="s">
        <v>400</v>
      </c>
      <c r="B156" s="126">
        <v>77</v>
      </c>
      <c r="G156" s="126" t="s">
        <v>765</v>
      </c>
      <c r="H156" s="126">
        <v>0</v>
      </c>
      <c r="L156" s="126" t="s">
        <v>1212</v>
      </c>
      <c r="M156" s="127" t="s">
        <v>1156</v>
      </c>
      <c r="N156" s="126">
        <v>72</v>
      </c>
      <c r="O156" s="126">
        <v>11</v>
      </c>
    </row>
    <row r="157" spans="1:15">
      <c r="A157" s="126" t="s">
        <v>400</v>
      </c>
      <c r="B157" s="126">
        <v>77</v>
      </c>
      <c r="G157" s="126" t="s">
        <v>766</v>
      </c>
      <c r="H157" s="126">
        <v>0</v>
      </c>
      <c r="L157" s="126" t="s">
        <v>1213</v>
      </c>
      <c r="M157" s="127" t="s">
        <v>1156</v>
      </c>
      <c r="N157" s="126">
        <v>71</v>
      </c>
      <c r="O157" s="126">
        <v>11</v>
      </c>
    </row>
    <row r="158" spans="1:15">
      <c r="A158" s="126" t="s">
        <v>401</v>
      </c>
      <c r="B158" s="126">
        <v>72</v>
      </c>
      <c r="G158" s="126" t="s">
        <v>766</v>
      </c>
      <c r="H158" s="126">
        <v>0</v>
      </c>
      <c r="L158" s="126" t="s">
        <v>1214</v>
      </c>
      <c r="M158" s="127" t="s">
        <v>1156</v>
      </c>
      <c r="N158" s="126">
        <v>70</v>
      </c>
      <c r="O158" s="126">
        <v>10</v>
      </c>
    </row>
    <row r="159" spans="1:15">
      <c r="A159" s="126" t="s">
        <v>402</v>
      </c>
      <c r="B159" s="126">
        <v>69</v>
      </c>
      <c r="G159" s="126" t="s">
        <v>767</v>
      </c>
      <c r="H159" s="126">
        <v>99</v>
      </c>
      <c r="L159" s="126" t="s">
        <v>1215</v>
      </c>
      <c r="M159" s="127" t="s">
        <v>1156</v>
      </c>
      <c r="N159" s="126">
        <v>69</v>
      </c>
      <c r="O159" s="126">
        <v>9</v>
      </c>
    </row>
    <row r="160" spans="1:15">
      <c r="A160" s="126" t="s">
        <v>403</v>
      </c>
      <c r="B160" s="126">
        <v>67</v>
      </c>
      <c r="G160" s="126" t="s">
        <v>768</v>
      </c>
      <c r="H160" s="126">
        <v>98</v>
      </c>
      <c r="L160" s="126" t="s">
        <v>1216</v>
      </c>
      <c r="M160" s="127" t="s">
        <v>1156</v>
      </c>
      <c r="N160" s="126">
        <v>68</v>
      </c>
      <c r="O160" s="126">
        <v>9</v>
      </c>
    </row>
    <row r="161" spans="1:15">
      <c r="A161" s="126" t="s">
        <v>404</v>
      </c>
      <c r="B161" s="126">
        <v>63</v>
      </c>
      <c r="G161" s="126" t="s">
        <v>769</v>
      </c>
      <c r="H161" s="126">
        <v>96</v>
      </c>
      <c r="L161" s="126" t="s">
        <v>1217</v>
      </c>
      <c r="M161" s="127" t="s">
        <v>1156</v>
      </c>
      <c r="N161" s="126">
        <v>67</v>
      </c>
      <c r="O161" s="126">
        <v>8</v>
      </c>
    </row>
    <row r="162" spans="1:15">
      <c r="A162" s="126" t="s">
        <v>404</v>
      </c>
      <c r="B162" s="126">
        <v>63</v>
      </c>
      <c r="G162" s="126" t="s">
        <v>770</v>
      </c>
      <c r="H162" s="126">
        <v>90</v>
      </c>
      <c r="L162" s="126" t="s">
        <v>1218</v>
      </c>
      <c r="M162" s="127" t="s">
        <v>1156</v>
      </c>
      <c r="N162" s="126">
        <v>66</v>
      </c>
      <c r="O162" s="126">
        <v>7</v>
      </c>
    </row>
    <row r="163" spans="1:15">
      <c r="A163" s="126" t="s">
        <v>405</v>
      </c>
      <c r="B163" s="126">
        <v>59</v>
      </c>
      <c r="G163" s="126" t="s">
        <v>770</v>
      </c>
      <c r="H163" s="126">
        <v>90</v>
      </c>
      <c r="L163" s="126" t="s">
        <v>1219</v>
      </c>
      <c r="M163" s="127" t="s">
        <v>1156</v>
      </c>
      <c r="N163" s="126">
        <v>65</v>
      </c>
      <c r="O163" s="126">
        <v>7</v>
      </c>
    </row>
    <row r="164" spans="1:15">
      <c r="A164" s="126" t="s">
        <v>406</v>
      </c>
      <c r="B164" s="126">
        <v>56</v>
      </c>
      <c r="G164" s="126" t="s">
        <v>771</v>
      </c>
      <c r="H164" s="126">
        <v>86</v>
      </c>
      <c r="L164" s="126" t="s">
        <v>1220</v>
      </c>
      <c r="M164" s="127" t="s">
        <v>1156</v>
      </c>
      <c r="N164" s="126">
        <v>64</v>
      </c>
      <c r="O164" s="126">
        <v>6</v>
      </c>
    </row>
    <row r="165" spans="1:15">
      <c r="A165" s="126" t="s">
        <v>407</v>
      </c>
      <c r="B165" s="126">
        <v>54</v>
      </c>
      <c r="G165" s="126" t="s">
        <v>772</v>
      </c>
      <c r="H165" s="126">
        <v>81</v>
      </c>
      <c r="L165" s="126" t="s">
        <v>1221</v>
      </c>
      <c r="M165" s="127" t="s">
        <v>1156</v>
      </c>
      <c r="N165" s="126">
        <v>63</v>
      </c>
      <c r="O165" s="126">
        <v>6</v>
      </c>
    </row>
    <row r="166" spans="1:15">
      <c r="A166" s="126" t="s">
        <v>408</v>
      </c>
      <c r="B166" s="126">
        <v>51</v>
      </c>
      <c r="G166" s="126" t="s">
        <v>772</v>
      </c>
      <c r="H166" s="126">
        <v>81</v>
      </c>
      <c r="L166" s="126" t="s">
        <v>1222</v>
      </c>
      <c r="M166" s="127" t="s">
        <v>1156</v>
      </c>
      <c r="N166" s="126">
        <v>62</v>
      </c>
      <c r="O166" s="126">
        <v>5</v>
      </c>
    </row>
    <row r="167" spans="1:15">
      <c r="A167" s="126" t="s">
        <v>408</v>
      </c>
      <c r="B167" s="126">
        <v>51</v>
      </c>
      <c r="G167" s="126" t="s">
        <v>773</v>
      </c>
      <c r="H167" s="126">
        <v>75</v>
      </c>
      <c r="L167" s="126" t="s">
        <v>1223</v>
      </c>
      <c r="M167" s="127" t="s">
        <v>1156</v>
      </c>
      <c r="N167" s="126">
        <v>61</v>
      </c>
      <c r="O167" s="126">
        <v>5</v>
      </c>
    </row>
    <row r="168" spans="1:15">
      <c r="A168" s="126" t="s">
        <v>409</v>
      </c>
      <c r="B168" s="126">
        <v>47</v>
      </c>
      <c r="G168" s="126" t="s">
        <v>774</v>
      </c>
      <c r="H168" s="126">
        <v>71</v>
      </c>
      <c r="L168" s="126" t="s">
        <v>1224</v>
      </c>
      <c r="M168" s="127" t="s">
        <v>1156</v>
      </c>
      <c r="N168" s="126">
        <v>60</v>
      </c>
      <c r="O168" s="126">
        <v>4</v>
      </c>
    </row>
    <row r="169" spans="1:15">
      <c r="A169" s="126" t="s">
        <v>410</v>
      </c>
      <c r="B169" s="126">
        <v>45</v>
      </c>
      <c r="G169" s="126" t="s">
        <v>775</v>
      </c>
      <c r="H169" s="126">
        <v>67</v>
      </c>
      <c r="L169" s="126" t="s">
        <v>1225</v>
      </c>
      <c r="M169" s="127" t="s">
        <v>1156</v>
      </c>
      <c r="N169" s="126">
        <v>59</v>
      </c>
      <c r="O169" s="126">
        <v>4</v>
      </c>
    </row>
    <row r="170" spans="1:15">
      <c r="A170" s="126" t="s">
        <v>411</v>
      </c>
      <c r="B170" s="126">
        <v>42</v>
      </c>
      <c r="G170" s="126" t="s">
        <v>775</v>
      </c>
      <c r="H170" s="126">
        <v>67</v>
      </c>
      <c r="L170" s="126" t="s">
        <v>1226</v>
      </c>
      <c r="M170" s="127" t="s">
        <v>1156</v>
      </c>
      <c r="N170" s="126">
        <v>58</v>
      </c>
      <c r="O170" s="126">
        <v>4</v>
      </c>
    </row>
    <row r="171" spans="1:15">
      <c r="A171" s="126" t="s">
        <v>411</v>
      </c>
      <c r="B171" s="126">
        <v>42</v>
      </c>
      <c r="G171" s="126" t="s">
        <v>776</v>
      </c>
      <c r="H171" s="126">
        <v>64</v>
      </c>
      <c r="L171" s="126" t="s">
        <v>1227</v>
      </c>
      <c r="M171" s="127" t="s">
        <v>1156</v>
      </c>
      <c r="N171" s="126">
        <v>57</v>
      </c>
      <c r="O171" s="126">
        <v>3</v>
      </c>
    </row>
    <row r="172" spans="1:15">
      <c r="A172" s="126" t="s">
        <v>412</v>
      </c>
      <c r="B172" s="126">
        <v>39</v>
      </c>
      <c r="G172" s="126" t="s">
        <v>777</v>
      </c>
      <c r="H172" s="126">
        <v>62</v>
      </c>
      <c r="L172" s="126" t="s">
        <v>1228</v>
      </c>
      <c r="M172" s="127" t="s">
        <v>1156</v>
      </c>
      <c r="N172" s="126">
        <v>56</v>
      </c>
      <c r="O172" s="126">
        <v>3</v>
      </c>
    </row>
    <row r="173" spans="1:15">
      <c r="A173" s="126" t="s">
        <v>413</v>
      </c>
      <c r="B173" s="126">
        <v>37</v>
      </c>
      <c r="G173" s="126" t="s">
        <v>778</v>
      </c>
      <c r="H173" s="126">
        <v>60</v>
      </c>
      <c r="L173" s="126" t="s">
        <v>1229</v>
      </c>
      <c r="M173" s="127" t="s">
        <v>1156</v>
      </c>
      <c r="N173" s="126">
        <v>55</v>
      </c>
      <c r="O173" s="126">
        <v>3</v>
      </c>
    </row>
    <row r="174" spans="1:15">
      <c r="A174" s="126" t="s">
        <v>414</v>
      </c>
      <c r="B174" s="126">
        <v>34</v>
      </c>
      <c r="G174" s="126" t="s">
        <v>778</v>
      </c>
      <c r="H174" s="126">
        <v>60</v>
      </c>
      <c r="L174" s="126" t="s">
        <v>1230</v>
      </c>
      <c r="M174" s="127" t="s">
        <v>1156</v>
      </c>
      <c r="N174" s="126">
        <v>54</v>
      </c>
      <c r="O174" s="126">
        <v>2</v>
      </c>
    </row>
    <row r="175" spans="1:15">
      <c r="A175" s="126" t="s">
        <v>415</v>
      </c>
      <c r="B175" s="126">
        <v>31</v>
      </c>
      <c r="G175" s="126" t="s">
        <v>779</v>
      </c>
      <c r="H175" s="126">
        <v>58</v>
      </c>
      <c r="L175" s="126" t="s">
        <v>1231</v>
      </c>
      <c r="M175" s="127" t="s">
        <v>1156</v>
      </c>
      <c r="N175" s="126">
        <v>53</v>
      </c>
      <c r="O175" s="126">
        <v>2</v>
      </c>
    </row>
    <row r="176" spans="1:15">
      <c r="A176" s="126" t="s">
        <v>415</v>
      </c>
      <c r="B176" s="126">
        <v>31</v>
      </c>
      <c r="G176" s="126" t="s">
        <v>780</v>
      </c>
      <c r="H176" s="126">
        <v>56</v>
      </c>
      <c r="L176" s="126" t="s">
        <v>1232</v>
      </c>
      <c r="M176" s="127" t="s">
        <v>1156</v>
      </c>
      <c r="N176" s="126">
        <v>52</v>
      </c>
      <c r="O176" s="126">
        <v>2</v>
      </c>
    </row>
    <row r="177" spans="1:15">
      <c r="A177" s="126" t="s">
        <v>416</v>
      </c>
      <c r="B177" s="126">
        <v>28</v>
      </c>
      <c r="G177" s="126" t="s">
        <v>781</v>
      </c>
      <c r="H177" s="126">
        <v>54</v>
      </c>
      <c r="L177" s="126" t="s">
        <v>1233</v>
      </c>
      <c r="M177" s="127" t="s">
        <v>1156</v>
      </c>
      <c r="N177" s="126">
        <v>51</v>
      </c>
      <c r="O177" s="126">
        <v>2</v>
      </c>
    </row>
    <row r="178" spans="1:15">
      <c r="A178" s="126" t="s">
        <v>417</v>
      </c>
      <c r="B178" s="126">
        <v>26</v>
      </c>
      <c r="G178" s="126" t="s">
        <v>781</v>
      </c>
      <c r="H178" s="126">
        <v>54</v>
      </c>
      <c r="L178" s="126" t="s">
        <v>1234</v>
      </c>
      <c r="M178" s="127" t="s">
        <v>1156</v>
      </c>
      <c r="N178" s="126">
        <v>50</v>
      </c>
      <c r="O178" s="126">
        <v>1</v>
      </c>
    </row>
    <row r="179" spans="1:15">
      <c r="A179" s="126" t="s">
        <v>418</v>
      </c>
      <c r="B179" s="126">
        <v>24</v>
      </c>
      <c r="G179" s="126" t="s">
        <v>782</v>
      </c>
      <c r="H179" s="126">
        <v>52</v>
      </c>
      <c r="L179" s="126" t="s">
        <v>1235</v>
      </c>
      <c r="M179" s="127" t="s">
        <v>1156</v>
      </c>
      <c r="N179" s="126">
        <v>49</v>
      </c>
      <c r="O179" s="126">
        <v>1</v>
      </c>
    </row>
    <row r="180" spans="1:15">
      <c r="A180" s="126" t="s">
        <v>419</v>
      </c>
      <c r="B180" s="126">
        <v>21</v>
      </c>
      <c r="G180" s="126" t="s">
        <v>783</v>
      </c>
      <c r="H180" s="126">
        <v>50</v>
      </c>
      <c r="L180" s="126" t="s">
        <v>1236</v>
      </c>
      <c r="M180" s="127" t="s">
        <v>1156</v>
      </c>
      <c r="N180" s="126">
        <v>48</v>
      </c>
      <c r="O180" s="126">
        <v>1</v>
      </c>
    </row>
    <row r="181" spans="1:15">
      <c r="A181" s="126" t="s">
        <v>419</v>
      </c>
      <c r="B181" s="126">
        <v>21</v>
      </c>
      <c r="G181" s="126" t="s">
        <v>784</v>
      </c>
      <c r="H181" s="126">
        <v>48</v>
      </c>
      <c r="L181" s="126" t="s">
        <v>1237</v>
      </c>
      <c r="M181" s="127" t="s">
        <v>1156</v>
      </c>
      <c r="N181" s="126">
        <v>47</v>
      </c>
      <c r="O181" s="126">
        <v>1</v>
      </c>
    </row>
    <row r="182" spans="1:15">
      <c r="A182" s="126" t="s">
        <v>420</v>
      </c>
      <c r="B182" s="126">
        <v>18</v>
      </c>
      <c r="G182" s="126" t="s">
        <v>784</v>
      </c>
      <c r="H182" s="126">
        <v>48</v>
      </c>
      <c r="L182" s="126" t="s">
        <v>1238</v>
      </c>
      <c r="M182" s="127" t="s">
        <v>1156</v>
      </c>
      <c r="N182" s="126">
        <v>46</v>
      </c>
      <c r="O182" s="126">
        <v>1</v>
      </c>
    </row>
    <row r="183" spans="1:15">
      <c r="A183" s="126" t="s">
        <v>421</v>
      </c>
      <c r="B183" s="126">
        <v>16</v>
      </c>
      <c r="G183" s="126" t="s">
        <v>785</v>
      </c>
      <c r="H183" s="126">
        <v>47</v>
      </c>
      <c r="L183" s="126" t="s">
        <v>1239</v>
      </c>
      <c r="M183" s="127" t="s">
        <v>1156</v>
      </c>
      <c r="N183" s="126">
        <v>45</v>
      </c>
      <c r="O183" s="126">
        <v>0</v>
      </c>
    </row>
    <row r="184" spans="1:15">
      <c r="A184" s="126" t="s">
        <v>422</v>
      </c>
      <c r="B184" s="126">
        <v>14</v>
      </c>
      <c r="G184" s="126" t="s">
        <v>786</v>
      </c>
      <c r="H184" s="126">
        <v>45</v>
      </c>
      <c r="L184" s="126" t="s">
        <v>1240</v>
      </c>
      <c r="M184" s="127" t="s">
        <v>1156</v>
      </c>
      <c r="N184" s="126">
        <v>44</v>
      </c>
      <c r="O184" s="126">
        <v>0</v>
      </c>
    </row>
    <row r="185" spans="1:15">
      <c r="A185" s="126" t="s">
        <v>423</v>
      </c>
      <c r="B185" s="126">
        <v>11</v>
      </c>
      <c r="G185" s="126" t="s">
        <v>787</v>
      </c>
      <c r="H185" s="126">
        <v>43</v>
      </c>
      <c r="L185" s="126" t="s">
        <v>1241</v>
      </c>
      <c r="M185" s="127" t="s">
        <v>1156</v>
      </c>
      <c r="N185" s="126">
        <v>43</v>
      </c>
      <c r="O185" s="126">
        <v>0</v>
      </c>
    </row>
    <row r="186" spans="1:15">
      <c r="A186" s="126" t="s">
        <v>423</v>
      </c>
      <c r="B186" s="126">
        <v>11</v>
      </c>
      <c r="G186" s="126" t="s">
        <v>788</v>
      </c>
      <c r="H186" s="126">
        <v>40</v>
      </c>
      <c r="L186" s="126" t="s">
        <v>1242</v>
      </c>
      <c r="M186" s="127" t="s">
        <v>1156</v>
      </c>
      <c r="N186" s="126">
        <v>42</v>
      </c>
      <c r="O186" s="126">
        <v>0</v>
      </c>
    </row>
    <row r="187" spans="1:15">
      <c r="A187" s="126" t="s">
        <v>424</v>
      </c>
      <c r="B187" s="126">
        <v>8</v>
      </c>
      <c r="G187" s="126" t="s">
        <v>788</v>
      </c>
      <c r="H187" s="126">
        <v>40</v>
      </c>
      <c r="L187" s="126" t="s">
        <v>1243</v>
      </c>
      <c r="M187" s="127" t="s">
        <v>1156</v>
      </c>
      <c r="N187" s="126">
        <v>41</v>
      </c>
      <c r="O187" s="126">
        <v>0</v>
      </c>
    </row>
    <row r="188" spans="1:15">
      <c r="A188" s="126" t="s">
        <v>425</v>
      </c>
      <c r="B188" s="126">
        <v>6</v>
      </c>
      <c r="G188" s="126" t="s">
        <v>789</v>
      </c>
      <c r="H188" s="126">
        <v>38</v>
      </c>
      <c r="L188" s="126" t="s">
        <v>1244</v>
      </c>
      <c r="M188" s="127" t="s">
        <v>1156</v>
      </c>
      <c r="N188" s="126">
        <v>40</v>
      </c>
      <c r="O188" s="126">
        <v>0</v>
      </c>
    </row>
    <row r="189" spans="1:15">
      <c r="A189" s="126" t="s">
        <v>426</v>
      </c>
      <c r="B189" s="126">
        <v>4</v>
      </c>
      <c r="G189" s="126" t="s">
        <v>790</v>
      </c>
      <c r="H189" s="126">
        <v>35</v>
      </c>
      <c r="L189" s="126" t="s">
        <v>1245</v>
      </c>
      <c r="M189" s="127" t="s">
        <v>1156</v>
      </c>
      <c r="N189" s="126">
        <v>39</v>
      </c>
      <c r="O189" s="126">
        <v>0</v>
      </c>
    </row>
    <row r="190" spans="1:15">
      <c r="A190" s="126" t="s">
        <v>426</v>
      </c>
      <c r="B190" s="126">
        <v>4</v>
      </c>
      <c r="G190" s="126" t="s">
        <v>791</v>
      </c>
      <c r="H190" s="126">
        <v>31</v>
      </c>
      <c r="L190" s="126" t="s">
        <v>1246</v>
      </c>
      <c r="M190" s="127" t="s">
        <v>1156</v>
      </c>
      <c r="N190" s="126">
        <v>38</v>
      </c>
      <c r="O190" s="126">
        <v>0</v>
      </c>
    </row>
    <row r="191" spans="1:15">
      <c r="A191" s="126" t="s">
        <v>427</v>
      </c>
      <c r="B191" s="126">
        <v>2</v>
      </c>
      <c r="G191" s="126" t="s">
        <v>791</v>
      </c>
      <c r="H191" s="126">
        <v>31</v>
      </c>
      <c r="L191" s="126" t="s">
        <v>1247</v>
      </c>
      <c r="M191" s="127" t="s">
        <v>1156</v>
      </c>
      <c r="N191" s="126">
        <v>37</v>
      </c>
      <c r="O191" s="126">
        <v>0</v>
      </c>
    </row>
    <row r="192" spans="1:15">
      <c r="A192" s="126" t="s">
        <v>428</v>
      </c>
      <c r="B192" s="126">
        <v>1</v>
      </c>
      <c r="G192" s="126" t="s">
        <v>792</v>
      </c>
      <c r="H192" s="126">
        <v>27</v>
      </c>
      <c r="L192" s="126" t="s">
        <v>1248</v>
      </c>
      <c r="M192" s="127" t="s">
        <v>1156</v>
      </c>
      <c r="N192" s="126">
        <v>35</v>
      </c>
      <c r="O192" s="126">
        <v>0</v>
      </c>
    </row>
    <row r="193" spans="1:15">
      <c r="A193" s="126" t="s">
        <v>429</v>
      </c>
      <c r="B193" s="126">
        <v>1</v>
      </c>
      <c r="G193" s="126" t="s">
        <v>793</v>
      </c>
      <c r="H193" s="126">
        <v>24</v>
      </c>
      <c r="L193" s="126" t="s">
        <v>1249</v>
      </c>
      <c r="M193" s="127" t="s">
        <v>1156</v>
      </c>
      <c r="N193" s="126">
        <v>34</v>
      </c>
      <c r="O193" s="126">
        <v>0</v>
      </c>
    </row>
    <row r="194" spans="1:15">
      <c r="A194" s="126" t="s">
        <v>429</v>
      </c>
      <c r="B194" s="126">
        <v>1</v>
      </c>
      <c r="G194" s="126" t="s">
        <v>794</v>
      </c>
      <c r="H194" s="126">
        <v>18</v>
      </c>
      <c r="L194" s="126" t="s">
        <v>1250</v>
      </c>
      <c r="M194" s="127" t="s">
        <v>1156</v>
      </c>
      <c r="N194" s="126">
        <v>33</v>
      </c>
      <c r="O194" s="126">
        <v>0</v>
      </c>
    </row>
    <row r="195" spans="1:15">
      <c r="A195" s="126" t="s">
        <v>430</v>
      </c>
      <c r="B195" s="126">
        <v>0</v>
      </c>
      <c r="G195" s="126" t="s">
        <v>794</v>
      </c>
      <c r="H195" s="126">
        <v>18</v>
      </c>
      <c r="L195" s="126" t="s">
        <v>1251</v>
      </c>
      <c r="M195" s="127" t="s">
        <v>1156</v>
      </c>
      <c r="N195" s="126">
        <v>32</v>
      </c>
      <c r="O195" s="126">
        <v>0</v>
      </c>
    </row>
    <row r="196" spans="1:15">
      <c r="A196" s="126" t="s">
        <v>431</v>
      </c>
      <c r="B196" s="126">
        <v>0</v>
      </c>
      <c r="G196" s="126" t="s">
        <v>795</v>
      </c>
      <c r="H196" s="126">
        <v>13</v>
      </c>
      <c r="L196" s="126" t="s">
        <v>1252</v>
      </c>
      <c r="M196" s="127" t="s">
        <v>1156</v>
      </c>
      <c r="N196" s="126">
        <v>31</v>
      </c>
      <c r="O196" s="126">
        <v>0</v>
      </c>
    </row>
    <row r="197" spans="1:15">
      <c r="A197" s="126" t="s">
        <v>432</v>
      </c>
      <c r="B197" s="126">
        <v>98</v>
      </c>
      <c r="G197" s="126" t="s">
        <v>796</v>
      </c>
      <c r="H197" s="126">
        <v>9</v>
      </c>
      <c r="L197" s="126" t="s">
        <v>1253</v>
      </c>
      <c r="M197" s="127" t="s">
        <v>1156</v>
      </c>
      <c r="N197" s="126">
        <v>30</v>
      </c>
      <c r="O197" s="126">
        <v>0</v>
      </c>
    </row>
    <row r="198" spans="1:15">
      <c r="A198" s="126" t="s">
        <v>433</v>
      </c>
      <c r="B198" s="126">
        <v>94</v>
      </c>
      <c r="G198" s="126" t="s">
        <v>796</v>
      </c>
      <c r="H198" s="126">
        <v>9</v>
      </c>
      <c r="L198" s="126" t="s">
        <v>1254</v>
      </c>
      <c r="M198" s="127" t="s">
        <v>1156</v>
      </c>
      <c r="N198" s="126">
        <v>28</v>
      </c>
      <c r="O198" s="126">
        <v>0</v>
      </c>
    </row>
    <row r="199" spans="1:15">
      <c r="A199" s="126" t="s">
        <v>434</v>
      </c>
      <c r="B199" s="126">
        <v>91</v>
      </c>
      <c r="G199" s="126" t="s">
        <v>797</v>
      </c>
      <c r="H199" s="126">
        <v>6</v>
      </c>
      <c r="L199" s="126" t="s">
        <v>1255</v>
      </c>
      <c r="M199" s="127" t="s">
        <v>1256</v>
      </c>
      <c r="N199" s="126">
        <v>143</v>
      </c>
      <c r="O199" s="126">
        <v>100</v>
      </c>
    </row>
    <row r="200" spans="1:15">
      <c r="A200" s="126" t="s">
        <v>435</v>
      </c>
      <c r="B200" s="126">
        <v>90</v>
      </c>
      <c r="G200" s="126" t="s">
        <v>798</v>
      </c>
      <c r="H200" s="126">
        <v>4</v>
      </c>
      <c r="L200" s="126" t="s">
        <v>1257</v>
      </c>
      <c r="M200" s="127" t="s">
        <v>1256</v>
      </c>
      <c r="N200" s="126">
        <v>141</v>
      </c>
      <c r="O200" s="126">
        <v>99</v>
      </c>
    </row>
    <row r="201" spans="1:15">
      <c r="A201" s="126" t="s">
        <v>436</v>
      </c>
      <c r="B201" s="126">
        <v>87</v>
      </c>
      <c r="G201" s="126" t="s">
        <v>799</v>
      </c>
      <c r="H201" s="126">
        <v>2</v>
      </c>
      <c r="L201" s="126" t="s">
        <v>1258</v>
      </c>
      <c r="M201" s="127" t="s">
        <v>1256</v>
      </c>
      <c r="N201" s="126">
        <v>140</v>
      </c>
      <c r="O201" s="126">
        <v>98</v>
      </c>
    </row>
    <row r="202" spans="1:15">
      <c r="A202" s="126" t="s">
        <v>436</v>
      </c>
      <c r="B202" s="126">
        <v>87</v>
      </c>
      <c r="G202" s="126" t="s">
        <v>799</v>
      </c>
      <c r="H202" s="126">
        <v>2</v>
      </c>
      <c r="L202" s="126" t="s">
        <v>1258</v>
      </c>
      <c r="M202" s="127" t="s">
        <v>1256</v>
      </c>
      <c r="N202" s="126">
        <v>140</v>
      </c>
      <c r="O202" s="126">
        <v>98</v>
      </c>
    </row>
    <row r="203" spans="1:15">
      <c r="A203" s="126" t="s">
        <v>437</v>
      </c>
      <c r="B203" s="126">
        <v>84</v>
      </c>
      <c r="G203" s="126" t="s">
        <v>800</v>
      </c>
      <c r="H203" s="126">
        <v>0</v>
      </c>
      <c r="L203" s="126" t="s">
        <v>1259</v>
      </c>
      <c r="M203" s="127" t="s">
        <v>1256</v>
      </c>
      <c r="N203" s="126">
        <v>139</v>
      </c>
      <c r="O203" s="126">
        <v>97</v>
      </c>
    </row>
    <row r="204" spans="1:15">
      <c r="A204" s="126" t="s">
        <v>438</v>
      </c>
      <c r="B204" s="126">
        <v>82</v>
      </c>
      <c r="G204" s="126" t="s">
        <v>801</v>
      </c>
      <c r="H204" s="126">
        <v>0</v>
      </c>
      <c r="L204" s="126" t="s">
        <v>1260</v>
      </c>
      <c r="M204" s="127" t="s">
        <v>1256</v>
      </c>
      <c r="N204" s="126">
        <v>138</v>
      </c>
      <c r="O204" s="126">
        <v>97</v>
      </c>
    </row>
    <row r="205" spans="1:15">
      <c r="A205" s="126" t="s">
        <v>439</v>
      </c>
      <c r="B205" s="126">
        <v>78</v>
      </c>
      <c r="G205" s="126" t="s">
        <v>802</v>
      </c>
      <c r="H205" s="126">
        <v>0</v>
      </c>
      <c r="L205" s="126" t="s">
        <v>1261</v>
      </c>
      <c r="M205" s="127" t="s">
        <v>1256</v>
      </c>
      <c r="N205" s="126">
        <v>137</v>
      </c>
      <c r="O205" s="126">
        <v>96</v>
      </c>
    </row>
    <row r="206" spans="1:15">
      <c r="A206" s="126" t="s">
        <v>440</v>
      </c>
      <c r="B206" s="126">
        <v>76</v>
      </c>
      <c r="G206" s="126" t="s">
        <v>802</v>
      </c>
      <c r="H206" s="126">
        <v>0</v>
      </c>
      <c r="L206" s="126" t="s">
        <v>1261</v>
      </c>
      <c r="M206" s="127" t="s">
        <v>1256</v>
      </c>
      <c r="N206" s="126">
        <v>137</v>
      </c>
      <c r="O206" s="126">
        <v>96</v>
      </c>
    </row>
    <row r="207" spans="1:15">
      <c r="A207" s="126" t="s">
        <v>441</v>
      </c>
      <c r="B207" s="126">
        <v>73</v>
      </c>
      <c r="G207" s="126" t="s">
        <v>803</v>
      </c>
      <c r="H207" s="126">
        <v>0</v>
      </c>
      <c r="L207" s="126" t="s">
        <v>1262</v>
      </c>
      <c r="M207" s="127" t="s">
        <v>1256</v>
      </c>
      <c r="N207" s="126">
        <v>136</v>
      </c>
      <c r="O207" s="126">
        <v>95</v>
      </c>
    </row>
    <row r="208" spans="1:15">
      <c r="A208" s="126" t="s">
        <v>442</v>
      </c>
      <c r="B208" s="126">
        <v>68</v>
      </c>
      <c r="G208" s="126" t="s">
        <v>804</v>
      </c>
      <c r="H208" s="126">
        <v>0</v>
      </c>
      <c r="L208" s="126" t="s">
        <v>1263</v>
      </c>
      <c r="M208" s="127" t="s">
        <v>1256</v>
      </c>
      <c r="N208" s="126">
        <v>135</v>
      </c>
      <c r="O208" s="126">
        <v>95</v>
      </c>
    </row>
    <row r="209" spans="1:15">
      <c r="A209" s="126" t="s">
        <v>443</v>
      </c>
      <c r="B209" s="126">
        <v>64</v>
      </c>
      <c r="G209" s="126" t="s">
        <v>804</v>
      </c>
      <c r="H209" s="126">
        <v>0</v>
      </c>
      <c r="L209" s="126" t="s">
        <v>1264</v>
      </c>
      <c r="M209" s="127" t="s">
        <v>1256</v>
      </c>
      <c r="N209" s="126">
        <v>134</v>
      </c>
      <c r="O209" s="126">
        <v>94</v>
      </c>
    </row>
    <row r="210" spans="1:15">
      <c r="A210" s="126" t="s">
        <v>443</v>
      </c>
      <c r="B210" s="126">
        <v>64</v>
      </c>
      <c r="G210" s="126" t="s">
        <v>805</v>
      </c>
      <c r="H210" s="126">
        <v>100</v>
      </c>
      <c r="L210" s="126" t="s">
        <v>1264</v>
      </c>
      <c r="M210" s="127" t="s">
        <v>1256</v>
      </c>
      <c r="N210" s="126">
        <v>134</v>
      </c>
      <c r="O210" s="126">
        <v>94</v>
      </c>
    </row>
    <row r="211" spans="1:15">
      <c r="A211" s="126" t="s">
        <v>444</v>
      </c>
      <c r="B211" s="126">
        <v>61</v>
      </c>
      <c r="G211" s="126" t="s">
        <v>806</v>
      </c>
      <c r="H211" s="126">
        <v>99</v>
      </c>
      <c r="L211" s="126" t="s">
        <v>1265</v>
      </c>
      <c r="M211" s="127" t="s">
        <v>1256</v>
      </c>
      <c r="N211" s="126">
        <v>133</v>
      </c>
      <c r="O211" s="126">
        <v>92</v>
      </c>
    </row>
    <row r="212" spans="1:15">
      <c r="A212" s="126" t="s">
        <v>445</v>
      </c>
      <c r="B212" s="126">
        <v>58</v>
      </c>
      <c r="G212" s="126" t="s">
        <v>807</v>
      </c>
      <c r="H212" s="126">
        <v>99</v>
      </c>
      <c r="L212" s="126" t="s">
        <v>1266</v>
      </c>
      <c r="M212" s="127" t="s">
        <v>1256</v>
      </c>
      <c r="N212" s="126">
        <v>132</v>
      </c>
      <c r="O212" s="126">
        <v>92</v>
      </c>
    </row>
    <row r="213" spans="1:15">
      <c r="A213" s="126" t="s">
        <v>446</v>
      </c>
      <c r="B213" s="126">
        <v>54</v>
      </c>
      <c r="G213" s="126" t="s">
        <v>808</v>
      </c>
      <c r="H213" s="126">
        <v>98</v>
      </c>
      <c r="L213" s="126" t="s">
        <v>1267</v>
      </c>
      <c r="M213" s="127" t="s">
        <v>1256</v>
      </c>
      <c r="N213" s="126">
        <v>131</v>
      </c>
      <c r="O213" s="126">
        <v>92</v>
      </c>
    </row>
    <row r="214" spans="1:15">
      <c r="A214" s="126" t="s">
        <v>447</v>
      </c>
      <c r="B214" s="126">
        <v>51</v>
      </c>
      <c r="G214" s="126" t="s">
        <v>809</v>
      </c>
      <c r="H214" s="126">
        <v>97</v>
      </c>
      <c r="L214" s="126" t="s">
        <v>1268</v>
      </c>
      <c r="M214" s="127" t="s">
        <v>1256</v>
      </c>
      <c r="N214" s="126">
        <v>130</v>
      </c>
      <c r="O214" s="126">
        <v>90</v>
      </c>
    </row>
    <row r="215" spans="1:15">
      <c r="A215" s="126" t="s">
        <v>448</v>
      </c>
      <c r="B215" s="126">
        <v>48</v>
      </c>
      <c r="G215" s="126" t="s">
        <v>810</v>
      </c>
      <c r="H215" s="126">
        <v>97</v>
      </c>
      <c r="L215" s="126" t="s">
        <v>1268</v>
      </c>
      <c r="M215" s="127" t="s">
        <v>1256</v>
      </c>
      <c r="N215" s="126">
        <v>130</v>
      </c>
      <c r="O215" s="126">
        <v>90</v>
      </c>
    </row>
    <row r="216" spans="1:15">
      <c r="A216" s="126" t="s">
        <v>449</v>
      </c>
      <c r="B216" s="126">
        <v>45</v>
      </c>
      <c r="G216" s="126" t="s">
        <v>811</v>
      </c>
      <c r="H216" s="126">
        <v>96</v>
      </c>
      <c r="L216" s="126" t="s">
        <v>1269</v>
      </c>
      <c r="M216" s="127" t="s">
        <v>1256</v>
      </c>
      <c r="N216" s="126">
        <v>129</v>
      </c>
      <c r="O216" s="126">
        <v>89</v>
      </c>
    </row>
    <row r="217" spans="1:15">
      <c r="A217" s="126" t="s">
        <v>450</v>
      </c>
      <c r="B217" s="126">
        <v>42</v>
      </c>
      <c r="G217" s="126" t="s">
        <v>812</v>
      </c>
      <c r="H217" s="126">
        <v>95</v>
      </c>
      <c r="L217" s="126" t="s">
        <v>1270</v>
      </c>
      <c r="M217" s="127" t="s">
        <v>1256</v>
      </c>
      <c r="N217" s="126">
        <v>128</v>
      </c>
      <c r="O217" s="126">
        <v>88</v>
      </c>
    </row>
    <row r="218" spans="1:15">
      <c r="A218" s="126" t="s">
        <v>451</v>
      </c>
      <c r="B218" s="126">
        <v>38</v>
      </c>
      <c r="G218" s="126" t="s">
        <v>813</v>
      </c>
      <c r="H218" s="126">
        <v>95</v>
      </c>
      <c r="L218" s="126" t="s">
        <v>1271</v>
      </c>
      <c r="M218" s="127" t="s">
        <v>1256</v>
      </c>
      <c r="N218" s="126">
        <v>127</v>
      </c>
      <c r="O218" s="126">
        <v>86</v>
      </c>
    </row>
    <row r="219" spans="1:15">
      <c r="A219" s="126" t="s">
        <v>451</v>
      </c>
      <c r="B219" s="126">
        <v>38</v>
      </c>
      <c r="G219" s="126" t="s">
        <v>814</v>
      </c>
      <c r="H219" s="126">
        <v>95</v>
      </c>
      <c r="L219" s="126" t="s">
        <v>1271</v>
      </c>
      <c r="M219" s="127" t="s">
        <v>1256</v>
      </c>
      <c r="N219" s="126">
        <v>127</v>
      </c>
      <c r="O219" s="126">
        <v>86</v>
      </c>
    </row>
    <row r="220" spans="1:15">
      <c r="A220" s="126" t="s">
        <v>452</v>
      </c>
      <c r="B220" s="126">
        <v>34</v>
      </c>
      <c r="G220" s="126" t="s">
        <v>815</v>
      </c>
      <c r="H220" s="126">
        <v>94</v>
      </c>
      <c r="L220" s="126" t="s">
        <v>1272</v>
      </c>
      <c r="M220" s="127" t="s">
        <v>1256</v>
      </c>
      <c r="N220" s="126">
        <v>126</v>
      </c>
      <c r="O220" s="126">
        <v>85</v>
      </c>
    </row>
    <row r="221" spans="1:15">
      <c r="A221" s="126" t="s">
        <v>453</v>
      </c>
      <c r="B221" s="126">
        <v>31</v>
      </c>
      <c r="G221" s="126" t="s">
        <v>816</v>
      </c>
      <c r="H221" s="126">
        <v>94</v>
      </c>
      <c r="L221" s="126" t="s">
        <v>1273</v>
      </c>
      <c r="M221" s="127" t="s">
        <v>1256</v>
      </c>
      <c r="N221" s="126">
        <v>125</v>
      </c>
      <c r="O221" s="126">
        <v>84</v>
      </c>
    </row>
    <row r="222" spans="1:15">
      <c r="A222" s="126" t="s">
        <v>454</v>
      </c>
      <c r="B222" s="126">
        <v>28</v>
      </c>
      <c r="G222" s="126" t="s">
        <v>817</v>
      </c>
      <c r="H222" s="126">
        <v>93</v>
      </c>
      <c r="L222" s="126" t="s">
        <v>1274</v>
      </c>
      <c r="M222" s="127" t="s">
        <v>1256</v>
      </c>
      <c r="N222" s="126">
        <v>124</v>
      </c>
      <c r="O222" s="126">
        <v>83</v>
      </c>
    </row>
    <row r="223" spans="1:15">
      <c r="A223" s="126" t="s">
        <v>455</v>
      </c>
      <c r="B223" s="126">
        <v>26</v>
      </c>
      <c r="G223" s="126" t="s">
        <v>818</v>
      </c>
      <c r="H223" s="126">
        <v>93</v>
      </c>
      <c r="L223" s="126" t="s">
        <v>1275</v>
      </c>
      <c r="M223" s="127" t="s">
        <v>1256</v>
      </c>
      <c r="N223" s="126">
        <v>123</v>
      </c>
      <c r="O223" s="126">
        <v>81</v>
      </c>
    </row>
    <row r="224" spans="1:15">
      <c r="A224" s="126" t="s">
        <v>456</v>
      </c>
      <c r="B224" s="126">
        <v>23</v>
      </c>
      <c r="G224" s="126" t="s">
        <v>819</v>
      </c>
      <c r="H224" s="126">
        <v>93</v>
      </c>
      <c r="L224" s="126" t="s">
        <v>1275</v>
      </c>
      <c r="M224" s="127" t="s">
        <v>1256</v>
      </c>
      <c r="N224" s="126">
        <v>123</v>
      </c>
      <c r="O224" s="126">
        <v>81</v>
      </c>
    </row>
    <row r="225" spans="1:15">
      <c r="A225" s="126" t="s">
        <v>457</v>
      </c>
      <c r="B225" s="126">
        <v>21</v>
      </c>
      <c r="G225" s="126" t="s">
        <v>820</v>
      </c>
      <c r="H225" s="126">
        <v>93</v>
      </c>
      <c r="L225" s="126" t="s">
        <v>1276</v>
      </c>
      <c r="M225" s="127" t="s">
        <v>1256</v>
      </c>
      <c r="N225" s="126">
        <v>122</v>
      </c>
      <c r="O225" s="126">
        <v>80</v>
      </c>
    </row>
    <row r="226" spans="1:15">
      <c r="A226" s="126" t="s">
        <v>458</v>
      </c>
      <c r="B226" s="126">
        <v>19</v>
      </c>
      <c r="G226" s="126" t="s">
        <v>821</v>
      </c>
      <c r="H226" s="126">
        <v>92</v>
      </c>
      <c r="L226" s="126" t="s">
        <v>1277</v>
      </c>
      <c r="M226" s="127" t="s">
        <v>1256</v>
      </c>
      <c r="N226" s="126">
        <v>121</v>
      </c>
      <c r="O226" s="126">
        <v>79</v>
      </c>
    </row>
    <row r="227" spans="1:15">
      <c r="A227" s="126" t="s">
        <v>459</v>
      </c>
      <c r="B227" s="126">
        <v>17</v>
      </c>
      <c r="G227" s="126" t="s">
        <v>822</v>
      </c>
      <c r="H227" s="126">
        <v>92</v>
      </c>
      <c r="L227" s="126" t="s">
        <v>1278</v>
      </c>
      <c r="M227" s="127" t="s">
        <v>1256</v>
      </c>
      <c r="N227" s="126">
        <v>120</v>
      </c>
      <c r="O227" s="126">
        <v>78</v>
      </c>
    </row>
    <row r="228" spans="1:15">
      <c r="A228" s="126" t="s">
        <v>460</v>
      </c>
      <c r="B228" s="126">
        <v>14</v>
      </c>
      <c r="G228" s="126" t="s">
        <v>823</v>
      </c>
      <c r="H228" s="126">
        <v>92</v>
      </c>
      <c r="L228" s="126" t="s">
        <v>1278</v>
      </c>
      <c r="M228" s="127" t="s">
        <v>1256</v>
      </c>
      <c r="N228" s="126">
        <v>120</v>
      </c>
      <c r="O228" s="126">
        <v>78</v>
      </c>
    </row>
    <row r="229" spans="1:15">
      <c r="A229" s="126" t="s">
        <v>460</v>
      </c>
      <c r="B229" s="126">
        <v>14</v>
      </c>
      <c r="G229" s="126" t="s">
        <v>824</v>
      </c>
      <c r="H229" s="126">
        <v>92</v>
      </c>
      <c r="L229" s="126" t="s">
        <v>1279</v>
      </c>
      <c r="M229" s="127" t="s">
        <v>1256</v>
      </c>
      <c r="N229" s="126">
        <v>119</v>
      </c>
      <c r="O229" s="126">
        <v>76</v>
      </c>
    </row>
    <row r="230" spans="1:15">
      <c r="A230" s="126" t="s">
        <v>461</v>
      </c>
      <c r="B230" s="126">
        <v>11</v>
      </c>
      <c r="G230" s="126" t="s">
        <v>825</v>
      </c>
      <c r="H230" s="126">
        <v>92</v>
      </c>
      <c r="L230" s="126" t="s">
        <v>1280</v>
      </c>
      <c r="M230" s="127" t="s">
        <v>1256</v>
      </c>
      <c r="N230" s="126">
        <v>118</v>
      </c>
      <c r="O230" s="126">
        <v>75</v>
      </c>
    </row>
    <row r="231" spans="1:15">
      <c r="A231" s="126" t="s">
        <v>462</v>
      </c>
      <c r="B231" s="126">
        <v>10</v>
      </c>
      <c r="G231" s="126" t="s">
        <v>826</v>
      </c>
      <c r="H231" s="126">
        <v>91</v>
      </c>
      <c r="L231" s="126" t="s">
        <v>1281</v>
      </c>
      <c r="M231" s="127" t="s">
        <v>1256</v>
      </c>
      <c r="N231" s="126">
        <v>117</v>
      </c>
      <c r="O231" s="126">
        <v>74</v>
      </c>
    </row>
    <row r="232" spans="1:15">
      <c r="A232" s="126" t="s">
        <v>463</v>
      </c>
      <c r="B232" s="126">
        <v>8</v>
      </c>
      <c r="G232" s="126" t="s">
        <v>827</v>
      </c>
      <c r="H232" s="126">
        <v>91</v>
      </c>
      <c r="L232" s="126" t="s">
        <v>1281</v>
      </c>
      <c r="M232" s="127" t="s">
        <v>1256</v>
      </c>
      <c r="N232" s="126">
        <v>117</v>
      </c>
      <c r="O232" s="126">
        <v>74</v>
      </c>
    </row>
    <row r="233" spans="1:15">
      <c r="A233" s="126" t="s">
        <v>464</v>
      </c>
      <c r="B233" s="126">
        <v>7</v>
      </c>
      <c r="G233" s="126" t="s">
        <v>828</v>
      </c>
      <c r="H233" s="126">
        <v>91</v>
      </c>
      <c r="L233" s="126" t="s">
        <v>1282</v>
      </c>
      <c r="M233" s="127" t="s">
        <v>1256</v>
      </c>
      <c r="N233" s="126">
        <v>116</v>
      </c>
      <c r="O233" s="126">
        <v>73</v>
      </c>
    </row>
    <row r="234" spans="1:15">
      <c r="A234" s="126" t="s">
        <v>465</v>
      </c>
      <c r="B234" s="126">
        <v>6</v>
      </c>
      <c r="G234" s="126" t="s">
        <v>829</v>
      </c>
      <c r="H234" s="126">
        <v>91</v>
      </c>
      <c r="L234" s="126" t="s">
        <v>1283</v>
      </c>
      <c r="M234" s="127" t="s">
        <v>1256</v>
      </c>
      <c r="N234" s="126">
        <v>115</v>
      </c>
      <c r="O234" s="126">
        <v>72</v>
      </c>
    </row>
    <row r="235" spans="1:15">
      <c r="A235" s="126" t="s">
        <v>466</v>
      </c>
      <c r="B235" s="126">
        <v>4</v>
      </c>
      <c r="G235" s="126" t="s">
        <v>830</v>
      </c>
      <c r="H235" s="126">
        <v>91</v>
      </c>
      <c r="L235" s="126" t="s">
        <v>1284</v>
      </c>
      <c r="M235" s="127" t="s">
        <v>1256</v>
      </c>
      <c r="N235" s="126">
        <v>114</v>
      </c>
      <c r="O235" s="126">
        <v>72</v>
      </c>
    </row>
    <row r="236" spans="1:15">
      <c r="A236" s="126" t="s">
        <v>467</v>
      </c>
      <c r="B236" s="126">
        <v>4</v>
      </c>
      <c r="G236" s="126" t="s">
        <v>831</v>
      </c>
      <c r="H236" s="126">
        <v>91</v>
      </c>
      <c r="L236" s="126" t="s">
        <v>1285</v>
      </c>
      <c r="M236" s="127" t="s">
        <v>1256</v>
      </c>
      <c r="N236" s="126">
        <v>113</v>
      </c>
      <c r="O236" s="126">
        <v>70</v>
      </c>
    </row>
    <row r="237" spans="1:15">
      <c r="A237" s="126" t="s">
        <v>468</v>
      </c>
      <c r="B237" s="126">
        <v>3</v>
      </c>
      <c r="G237" s="126" t="s">
        <v>832</v>
      </c>
      <c r="H237" s="126">
        <v>90</v>
      </c>
      <c r="L237" s="126" t="s">
        <v>1285</v>
      </c>
      <c r="M237" s="127" t="s">
        <v>1256</v>
      </c>
      <c r="N237" s="126">
        <v>113</v>
      </c>
      <c r="O237" s="126">
        <v>70</v>
      </c>
    </row>
    <row r="238" spans="1:15">
      <c r="A238" s="126" t="s">
        <v>469</v>
      </c>
      <c r="B238" s="126">
        <v>2</v>
      </c>
      <c r="G238" s="126" t="s">
        <v>833</v>
      </c>
      <c r="H238" s="126">
        <v>90</v>
      </c>
      <c r="L238" s="126" t="s">
        <v>1286</v>
      </c>
      <c r="M238" s="127" t="s">
        <v>1256</v>
      </c>
      <c r="N238" s="126">
        <v>112</v>
      </c>
      <c r="O238" s="126">
        <v>69</v>
      </c>
    </row>
    <row r="239" spans="1:15">
      <c r="A239" s="126" t="s">
        <v>469</v>
      </c>
      <c r="B239" s="126">
        <v>2</v>
      </c>
      <c r="G239" s="126" t="s">
        <v>834</v>
      </c>
      <c r="H239" s="126">
        <v>89</v>
      </c>
      <c r="L239" s="126" t="s">
        <v>1287</v>
      </c>
      <c r="M239" s="127" t="s">
        <v>1256</v>
      </c>
      <c r="N239" s="126">
        <v>111</v>
      </c>
      <c r="O239" s="126">
        <v>69</v>
      </c>
    </row>
    <row r="240" spans="1:15">
      <c r="A240" s="126" t="s">
        <v>470</v>
      </c>
      <c r="B240" s="126">
        <v>1</v>
      </c>
      <c r="G240" s="126" t="s">
        <v>835</v>
      </c>
      <c r="H240" s="126">
        <v>89</v>
      </c>
      <c r="L240" s="126" t="s">
        <v>1288</v>
      </c>
      <c r="M240" s="127" t="s">
        <v>1256</v>
      </c>
      <c r="N240" s="126">
        <v>110</v>
      </c>
      <c r="O240" s="126">
        <v>67</v>
      </c>
    </row>
    <row r="241" spans="1:15">
      <c r="A241" s="126" t="s">
        <v>471</v>
      </c>
      <c r="B241" s="126">
        <v>1</v>
      </c>
      <c r="G241" s="126" t="s">
        <v>836</v>
      </c>
      <c r="H241" s="126">
        <v>87</v>
      </c>
      <c r="L241" s="126" t="s">
        <v>1288</v>
      </c>
      <c r="M241" s="127" t="s">
        <v>1256</v>
      </c>
      <c r="N241" s="126">
        <v>110</v>
      </c>
      <c r="O241" s="126">
        <v>67</v>
      </c>
    </row>
    <row r="242" spans="1:15">
      <c r="A242" s="126" t="s">
        <v>472</v>
      </c>
      <c r="B242" s="126">
        <v>0</v>
      </c>
      <c r="G242" s="126" t="s">
        <v>837</v>
      </c>
      <c r="H242" s="126">
        <v>86</v>
      </c>
      <c r="L242" s="126" t="s">
        <v>1289</v>
      </c>
      <c r="M242" s="127" t="s">
        <v>1256</v>
      </c>
      <c r="N242" s="126">
        <v>109</v>
      </c>
      <c r="O242" s="126">
        <v>66</v>
      </c>
    </row>
    <row r="243" spans="1:15">
      <c r="A243" s="126" t="s">
        <v>473</v>
      </c>
      <c r="B243" s="126">
        <v>0</v>
      </c>
      <c r="G243" s="126" t="s">
        <v>838</v>
      </c>
      <c r="H243" s="126">
        <v>84</v>
      </c>
      <c r="L243" s="126" t="s">
        <v>1290</v>
      </c>
      <c r="M243" s="127" t="s">
        <v>1256</v>
      </c>
      <c r="N243" s="126">
        <v>108</v>
      </c>
      <c r="O243" s="126">
        <v>65</v>
      </c>
    </row>
    <row r="244" spans="1:15">
      <c r="A244" s="126" t="s">
        <v>474</v>
      </c>
      <c r="B244" s="126">
        <v>0</v>
      </c>
      <c r="G244" s="126" t="s">
        <v>839</v>
      </c>
      <c r="H244" s="126">
        <v>81</v>
      </c>
      <c r="L244" s="126" t="s">
        <v>1291</v>
      </c>
      <c r="M244" s="127" t="s">
        <v>1256</v>
      </c>
      <c r="N244" s="126">
        <v>107</v>
      </c>
      <c r="O244" s="126">
        <v>65</v>
      </c>
    </row>
    <row r="245" spans="1:15">
      <c r="A245" s="126" t="s">
        <v>475</v>
      </c>
      <c r="B245" s="126">
        <v>0</v>
      </c>
      <c r="G245" s="126" t="s">
        <v>840</v>
      </c>
      <c r="H245" s="126">
        <v>76</v>
      </c>
      <c r="L245" s="126" t="s">
        <v>1292</v>
      </c>
      <c r="M245" s="127" t="s">
        <v>1256</v>
      </c>
      <c r="N245" s="126">
        <v>106</v>
      </c>
      <c r="O245" s="126">
        <v>63</v>
      </c>
    </row>
    <row r="246" spans="1:15">
      <c r="A246" s="126" t="s">
        <v>476</v>
      </c>
      <c r="B246" s="126">
        <v>99</v>
      </c>
      <c r="G246" s="126" t="s">
        <v>841</v>
      </c>
      <c r="H246" s="126">
        <v>69</v>
      </c>
      <c r="L246" s="126" t="s">
        <v>1292</v>
      </c>
      <c r="M246" s="127" t="s">
        <v>1256</v>
      </c>
      <c r="N246" s="126">
        <v>106</v>
      </c>
      <c r="O246" s="126">
        <v>63</v>
      </c>
    </row>
    <row r="247" spans="1:15">
      <c r="A247" s="126" t="s">
        <v>477</v>
      </c>
      <c r="B247" s="126">
        <v>97</v>
      </c>
      <c r="G247" s="126" t="s">
        <v>842</v>
      </c>
      <c r="H247" s="126">
        <v>61</v>
      </c>
      <c r="L247" s="126" t="s">
        <v>1293</v>
      </c>
      <c r="M247" s="127" t="s">
        <v>1256</v>
      </c>
      <c r="N247" s="126">
        <v>105</v>
      </c>
      <c r="O247" s="126">
        <v>62</v>
      </c>
    </row>
    <row r="248" spans="1:15">
      <c r="A248" s="126" t="s">
        <v>478</v>
      </c>
      <c r="B248" s="126">
        <v>94</v>
      </c>
      <c r="G248" s="126" t="s">
        <v>843</v>
      </c>
      <c r="H248" s="126">
        <v>54</v>
      </c>
      <c r="L248" s="126" t="s">
        <v>1294</v>
      </c>
      <c r="M248" s="127" t="s">
        <v>1256</v>
      </c>
      <c r="N248" s="126">
        <v>104</v>
      </c>
      <c r="O248" s="126">
        <v>61</v>
      </c>
    </row>
    <row r="249" spans="1:15">
      <c r="A249" s="126" t="s">
        <v>479</v>
      </c>
      <c r="B249" s="126">
        <v>92</v>
      </c>
      <c r="G249" s="126" t="s">
        <v>844</v>
      </c>
      <c r="H249" s="126">
        <v>45</v>
      </c>
      <c r="L249" s="126" t="s">
        <v>1295</v>
      </c>
      <c r="M249" s="127" t="s">
        <v>1256</v>
      </c>
      <c r="N249" s="126">
        <v>103</v>
      </c>
      <c r="O249" s="126">
        <v>60</v>
      </c>
    </row>
    <row r="250" spans="1:15">
      <c r="A250" s="126" t="s">
        <v>480</v>
      </c>
      <c r="B250" s="126">
        <v>90</v>
      </c>
      <c r="G250" s="126" t="s">
        <v>845</v>
      </c>
      <c r="H250" s="126">
        <v>36</v>
      </c>
      <c r="L250" s="126" t="s">
        <v>1295</v>
      </c>
      <c r="M250" s="127" t="s">
        <v>1256</v>
      </c>
      <c r="N250" s="126">
        <v>103</v>
      </c>
      <c r="O250" s="126">
        <v>60</v>
      </c>
    </row>
    <row r="251" spans="1:15">
      <c r="A251" s="126" t="s">
        <v>481</v>
      </c>
      <c r="B251" s="126">
        <v>86</v>
      </c>
      <c r="G251" s="126" t="s">
        <v>846</v>
      </c>
      <c r="H251" s="126">
        <v>27</v>
      </c>
      <c r="L251" s="126" t="s">
        <v>1296</v>
      </c>
      <c r="M251" s="127" t="s">
        <v>1256</v>
      </c>
      <c r="N251" s="126">
        <v>102</v>
      </c>
      <c r="O251" s="126">
        <v>59</v>
      </c>
    </row>
    <row r="252" spans="1:15">
      <c r="A252" s="126" t="s">
        <v>482</v>
      </c>
      <c r="B252" s="126">
        <v>81</v>
      </c>
      <c r="G252" s="126" t="s">
        <v>847</v>
      </c>
      <c r="H252" s="126">
        <v>18</v>
      </c>
      <c r="L252" s="126" t="s">
        <v>1297</v>
      </c>
      <c r="M252" s="127" t="s">
        <v>1256</v>
      </c>
      <c r="N252" s="126">
        <v>101</v>
      </c>
      <c r="O252" s="126">
        <v>58</v>
      </c>
    </row>
    <row r="253" spans="1:15">
      <c r="A253" s="126" t="s">
        <v>482</v>
      </c>
      <c r="B253" s="126">
        <v>81</v>
      </c>
      <c r="G253" s="126" t="s">
        <v>848</v>
      </c>
      <c r="H253" s="126">
        <v>12</v>
      </c>
      <c r="L253" s="126" t="s">
        <v>1298</v>
      </c>
      <c r="M253" s="127" t="s">
        <v>1256</v>
      </c>
      <c r="N253" s="126">
        <v>100</v>
      </c>
      <c r="O253" s="126">
        <v>57</v>
      </c>
    </row>
    <row r="254" spans="1:15">
      <c r="A254" s="126" t="s">
        <v>483</v>
      </c>
      <c r="B254" s="126">
        <v>77</v>
      </c>
      <c r="G254" s="126" t="s">
        <v>849</v>
      </c>
      <c r="H254" s="126">
        <v>7</v>
      </c>
      <c r="L254" s="126" t="s">
        <v>1298</v>
      </c>
      <c r="M254" s="127" t="s">
        <v>1256</v>
      </c>
      <c r="N254" s="126">
        <v>100</v>
      </c>
      <c r="O254" s="126">
        <v>57</v>
      </c>
    </row>
    <row r="255" spans="1:15">
      <c r="A255" s="126" t="s">
        <v>484</v>
      </c>
      <c r="B255" s="126">
        <v>74</v>
      </c>
      <c r="G255" s="126" t="s">
        <v>850</v>
      </c>
      <c r="H255" s="126">
        <v>4</v>
      </c>
      <c r="L255" s="126" t="s">
        <v>1299</v>
      </c>
      <c r="M255" s="127" t="s">
        <v>1256</v>
      </c>
      <c r="N255" s="126">
        <v>99</v>
      </c>
      <c r="O255" s="126">
        <v>55</v>
      </c>
    </row>
    <row r="256" spans="1:15">
      <c r="A256" s="126" t="s">
        <v>485</v>
      </c>
      <c r="B256" s="126">
        <v>70</v>
      </c>
      <c r="G256" s="126" t="s">
        <v>851</v>
      </c>
      <c r="H256" s="126">
        <v>2</v>
      </c>
      <c r="L256" s="126" t="s">
        <v>1300</v>
      </c>
      <c r="M256" s="127" t="s">
        <v>1256</v>
      </c>
      <c r="N256" s="126">
        <v>98</v>
      </c>
      <c r="O256" s="126">
        <v>54</v>
      </c>
    </row>
    <row r="257" spans="1:15">
      <c r="A257" s="126" t="s">
        <v>486</v>
      </c>
      <c r="B257" s="126">
        <v>67</v>
      </c>
      <c r="G257" s="126" t="s">
        <v>852</v>
      </c>
      <c r="H257" s="126">
        <v>1</v>
      </c>
      <c r="L257" s="126" t="s">
        <v>1301</v>
      </c>
      <c r="M257" s="127" t="s">
        <v>1256</v>
      </c>
      <c r="N257" s="126">
        <v>97</v>
      </c>
      <c r="O257" s="126">
        <v>53</v>
      </c>
    </row>
    <row r="258" spans="1:15">
      <c r="A258" s="126" t="s">
        <v>487</v>
      </c>
      <c r="B258" s="126">
        <v>62</v>
      </c>
      <c r="G258" s="126" t="s">
        <v>853</v>
      </c>
      <c r="H258" s="126">
        <v>0</v>
      </c>
      <c r="L258" s="126" t="s">
        <v>1302</v>
      </c>
      <c r="M258" s="127" t="s">
        <v>1256</v>
      </c>
      <c r="N258" s="126">
        <v>96</v>
      </c>
      <c r="O258" s="126">
        <v>52</v>
      </c>
    </row>
    <row r="259" spans="1:15">
      <c r="A259" s="126" t="s">
        <v>487</v>
      </c>
      <c r="B259" s="126">
        <v>62</v>
      </c>
      <c r="G259" s="126" t="s">
        <v>854</v>
      </c>
      <c r="H259" s="126">
        <v>0</v>
      </c>
      <c r="L259" s="126" t="s">
        <v>1302</v>
      </c>
      <c r="M259" s="127" t="s">
        <v>1256</v>
      </c>
      <c r="N259" s="126">
        <v>96</v>
      </c>
      <c r="O259" s="126">
        <v>52</v>
      </c>
    </row>
    <row r="260" spans="1:15">
      <c r="A260" s="126" t="s">
        <v>488</v>
      </c>
      <c r="B260" s="126">
        <v>58</v>
      </c>
      <c r="G260" s="126" t="s">
        <v>855</v>
      </c>
      <c r="H260" s="126">
        <v>0</v>
      </c>
      <c r="L260" s="126" t="s">
        <v>1303</v>
      </c>
      <c r="M260" s="127" t="s">
        <v>1256</v>
      </c>
      <c r="N260" s="126">
        <v>95</v>
      </c>
      <c r="O260" s="126">
        <v>50</v>
      </c>
    </row>
    <row r="261" spans="1:15">
      <c r="A261" s="126" t="s">
        <v>489</v>
      </c>
      <c r="B261" s="126">
        <v>55</v>
      </c>
      <c r="G261" s="126" t="s">
        <v>856</v>
      </c>
      <c r="H261" s="126">
        <v>99</v>
      </c>
      <c r="L261" s="126" t="s">
        <v>1304</v>
      </c>
      <c r="M261" s="127" t="s">
        <v>1256</v>
      </c>
      <c r="N261" s="126">
        <v>94</v>
      </c>
      <c r="O261" s="126">
        <v>49</v>
      </c>
    </row>
    <row r="262" spans="1:15">
      <c r="A262" s="126" t="s">
        <v>490</v>
      </c>
      <c r="B262" s="126">
        <v>52</v>
      </c>
      <c r="G262" s="126" t="s">
        <v>857</v>
      </c>
      <c r="H262" s="126">
        <v>97</v>
      </c>
      <c r="L262" s="126" t="s">
        <v>1305</v>
      </c>
      <c r="M262" s="127" t="s">
        <v>1256</v>
      </c>
      <c r="N262" s="126">
        <v>93</v>
      </c>
      <c r="O262" s="126">
        <v>47</v>
      </c>
    </row>
    <row r="263" spans="1:15">
      <c r="A263" s="126" t="s">
        <v>491</v>
      </c>
      <c r="B263" s="126">
        <v>49</v>
      </c>
      <c r="G263" s="126" t="s">
        <v>858</v>
      </c>
      <c r="H263" s="126">
        <v>95</v>
      </c>
      <c r="L263" s="126" t="s">
        <v>1305</v>
      </c>
      <c r="M263" s="127" t="s">
        <v>1256</v>
      </c>
      <c r="N263" s="126">
        <v>93</v>
      </c>
      <c r="O263" s="126">
        <v>47</v>
      </c>
    </row>
    <row r="264" spans="1:15">
      <c r="A264" s="126" t="s">
        <v>492</v>
      </c>
      <c r="B264" s="126">
        <v>45</v>
      </c>
      <c r="G264" s="126" t="s">
        <v>859</v>
      </c>
      <c r="H264" s="126">
        <v>92</v>
      </c>
      <c r="L264" s="126" t="s">
        <v>1306</v>
      </c>
      <c r="M264" s="127" t="s">
        <v>1256</v>
      </c>
      <c r="N264" s="126">
        <v>92</v>
      </c>
      <c r="O264" s="126">
        <v>45</v>
      </c>
    </row>
    <row r="265" spans="1:15">
      <c r="A265" s="126" t="s">
        <v>492</v>
      </c>
      <c r="B265" s="126">
        <v>45</v>
      </c>
      <c r="G265" s="126" t="s">
        <v>860</v>
      </c>
      <c r="H265" s="126">
        <v>87</v>
      </c>
      <c r="L265" s="126" t="s">
        <v>1307</v>
      </c>
      <c r="M265" s="127" t="s">
        <v>1256</v>
      </c>
      <c r="N265" s="126">
        <v>91</v>
      </c>
      <c r="O265" s="126">
        <v>44</v>
      </c>
    </row>
    <row r="266" spans="1:15">
      <c r="A266" s="126" t="s">
        <v>493</v>
      </c>
      <c r="B266" s="126">
        <v>42</v>
      </c>
      <c r="G266" s="126" t="s">
        <v>860</v>
      </c>
      <c r="H266" s="126">
        <v>87</v>
      </c>
      <c r="L266" s="126" t="s">
        <v>1308</v>
      </c>
      <c r="M266" s="127" t="s">
        <v>1256</v>
      </c>
      <c r="N266" s="126">
        <v>90</v>
      </c>
      <c r="O266" s="126">
        <v>42</v>
      </c>
    </row>
    <row r="267" spans="1:15">
      <c r="A267" s="126" t="s">
        <v>494</v>
      </c>
      <c r="B267" s="126">
        <v>39</v>
      </c>
      <c r="G267" s="126" t="s">
        <v>861</v>
      </c>
      <c r="H267" s="126">
        <v>84</v>
      </c>
      <c r="L267" s="126" t="s">
        <v>1309</v>
      </c>
      <c r="M267" s="127" t="s">
        <v>1256</v>
      </c>
      <c r="N267" s="126">
        <v>89</v>
      </c>
      <c r="O267" s="126">
        <v>40</v>
      </c>
    </row>
    <row r="268" spans="1:15">
      <c r="A268" s="126" t="s">
        <v>495</v>
      </c>
      <c r="B268" s="126">
        <v>37</v>
      </c>
      <c r="G268" s="126" t="s">
        <v>862</v>
      </c>
      <c r="H268" s="126">
        <v>81</v>
      </c>
      <c r="L268" s="126" t="s">
        <v>1309</v>
      </c>
      <c r="M268" s="127" t="s">
        <v>1256</v>
      </c>
      <c r="N268" s="126">
        <v>89</v>
      </c>
      <c r="O268" s="126">
        <v>40</v>
      </c>
    </row>
    <row r="269" spans="1:15">
      <c r="A269" s="126" t="s">
        <v>496</v>
      </c>
      <c r="B269" s="126">
        <v>35</v>
      </c>
      <c r="G269" s="126" t="s">
        <v>863</v>
      </c>
      <c r="H269" s="126">
        <v>74</v>
      </c>
      <c r="L269" s="126" t="s">
        <v>1310</v>
      </c>
      <c r="M269" s="127" t="s">
        <v>1256</v>
      </c>
      <c r="N269" s="126">
        <v>88</v>
      </c>
      <c r="O269" s="126">
        <v>38</v>
      </c>
    </row>
    <row r="270" spans="1:15">
      <c r="A270" s="126" t="s">
        <v>497</v>
      </c>
      <c r="B270" s="126">
        <v>33</v>
      </c>
      <c r="G270" s="126" t="s">
        <v>863</v>
      </c>
      <c r="H270" s="126">
        <v>74</v>
      </c>
      <c r="L270" s="126" t="s">
        <v>1311</v>
      </c>
      <c r="M270" s="127" t="s">
        <v>1256</v>
      </c>
      <c r="N270" s="126">
        <v>87</v>
      </c>
      <c r="O270" s="126">
        <v>36</v>
      </c>
    </row>
    <row r="271" spans="1:15">
      <c r="A271" s="126" t="s">
        <v>498</v>
      </c>
      <c r="B271" s="126">
        <v>30</v>
      </c>
      <c r="G271" s="126" t="s">
        <v>864</v>
      </c>
      <c r="H271" s="126">
        <v>71</v>
      </c>
      <c r="L271" s="126" t="s">
        <v>1312</v>
      </c>
      <c r="M271" s="127" t="s">
        <v>1256</v>
      </c>
      <c r="N271" s="126">
        <v>86</v>
      </c>
      <c r="O271" s="126">
        <v>33</v>
      </c>
    </row>
    <row r="272" spans="1:15">
      <c r="A272" s="126" t="s">
        <v>498</v>
      </c>
      <c r="B272" s="126">
        <v>30</v>
      </c>
      <c r="G272" s="126" t="s">
        <v>865</v>
      </c>
      <c r="H272" s="126">
        <v>68</v>
      </c>
      <c r="L272" s="126" t="s">
        <v>1312</v>
      </c>
      <c r="M272" s="127" t="s">
        <v>1256</v>
      </c>
      <c r="N272" s="126">
        <v>86</v>
      </c>
      <c r="O272" s="126">
        <v>33</v>
      </c>
    </row>
    <row r="273" spans="1:15">
      <c r="A273" s="126" t="s">
        <v>499</v>
      </c>
      <c r="B273" s="126">
        <v>27</v>
      </c>
      <c r="G273" s="126" t="s">
        <v>866</v>
      </c>
      <c r="H273" s="126">
        <v>65</v>
      </c>
      <c r="L273" s="126" t="s">
        <v>1313</v>
      </c>
      <c r="M273" s="127" t="s">
        <v>1256</v>
      </c>
      <c r="N273" s="126">
        <v>85</v>
      </c>
      <c r="O273" s="126">
        <v>31</v>
      </c>
    </row>
    <row r="274" spans="1:15">
      <c r="A274" s="126" t="s">
        <v>500</v>
      </c>
      <c r="B274" s="126">
        <v>25</v>
      </c>
      <c r="G274" s="126" t="s">
        <v>867</v>
      </c>
      <c r="H274" s="126">
        <v>61</v>
      </c>
      <c r="L274" s="126" t="s">
        <v>1314</v>
      </c>
      <c r="M274" s="127" t="s">
        <v>1256</v>
      </c>
      <c r="N274" s="126">
        <v>84</v>
      </c>
      <c r="O274" s="126">
        <v>29</v>
      </c>
    </row>
    <row r="275" spans="1:15">
      <c r="A275" s="126" t="s">
        <v>501</v>
      </c>
      <c r="B275" s="126">
        <v>23</v>
      </c>
      <c r="G275" s="126" t="s">
        <v>867</v>
      </c>
      <c r="H275" s="126">
        <v>61</v>
      </c>
      <c r="L275" s="126" t="s">
        <v>1315</v>
      </c>
      <c r="M275" s="127" t="s">
        <v>1256</v>
      </c>
      <c r="N275" s="126">
        <v>83</v>
      </c>
      <c r="O275" s="126">
        <v>26</v>
      </c>
    </row>
    <row r="276" spans="1:15">
      <c r="A276" s="126" t="s">
        <v>502</v>
      </c>
      <c r="B276" s="126">
        <v>21</v>
      </c>
      <c r="G276" s="126" t="s">
        <v>868</v>
      </c>
      <c r="H276" s="126">
        <v>57</v>
      </c>
      <c r="L276" s="126" t="s">
        <v>1315</v>
      </c>
      <c r="M276" s="127" t="s">
        <v>1256</v>
      </c>
      <c r="N276" s="126">
        <v>83</v>
      </c>
      <c r="O276" s="126">
        <v>26</v>
      </c>
    </row>
    <row r="277" spans="1:15">
      <c r="A277" s="126" t="s">
        <v>503</v>
      </c>
      <c r="B277" s="126">
        <v>18</v>
      </c>
      <c r="G277" s="126" t="s">
        <v>869</v>
      </c>
      <c r="H277" s="126">
        <v>55</v>
      </c>
      <c r="L277" s="126" t="s">
        <v>1316</v>
      </c>
      <c r="M277" s="127" t="s">
        <v>1256</v>
      </c>
      <c r="N277" s="126">
        <v>82</v>
      </c>
      <c r="O277" s="126">
        <v>22</v>
      </c>
    </row>
    <row r="278" spans="1:15">
      <c r="A278" s="126" t="s">
        <v>503</v>
      </c>
      <c r="B278" s="126">
        <v>18</v>
      </c>
      <c r="G278" s="126" t="s">
        <v>870</v>
      </c>
      <c r="H278" s="126">
        <v>52</v>
      </c>
      <c r="L278" s="126" t="s">
        <v>1317</v>
      </c>
      <c r="M278" s="127" t="s">
        <v>1256</v>
      </c>
      <c r="N278" s="126">
        <v>81</v>
      </c>
      <c r="O278" s="126">
        <v>20</v>
      </c>
    </row>
    <row r="279" spans="1:15">
      <c r="A279" s="126" t="s">
        <v>504</v>
      </c>
      <c r="B279" s="126">
        <v>15</v>
      </c>
      <c r="G279" s="126" t="s">
        <v>870</v>
      </c>
      <c r="H279" s="126">
        <v>52</v>
      </c>
      <c r="L279" s="126" t="s">
        <v>1318</v>
      </c>
      <c r="M279" s="127" t="s">
        <v>1256</v>
      </c>
      <c r="N279" s="126">
        <v>80</v>
      </c>
      <c r="O279" s="126">
        <v>18</v>
      </c>
    </row>
    <row r="280" spans="1:15">
      <c r="A280" s="126" t="s">
        <v>505</v>
      </c>
      <c r="B280" s="126">
        <v>13</v>
      </c>
      <c r="G280" s="126" t="s">
        <v>871</v>
      </c>
      <c r="H280" s="126">
        <v>49</v>
      </c>
      <c r="L280" s="126" t="s">
        <v>1319</v>
      </c>
      <c r="M280" s="127" t="s">
        <v>1256</v>
      </c>
      <c r="N280" s="126">
        <v>79</v>
      </c>
      <c r="O280" s="126">
        <v>15</v>
      </c>
    </row>
    <row r="281" spans="1:15">
      <c r="A281" s="126" t="s">
        <v>506</v>
      </c>
      <c r="B281" s="126">
        <v>11</v>
      </c>
      <c r="G281" s="126" t="s">
        <v>872</v>
      </c>
      <c r="H281" s="126">
        <v>47</v>
      </c>
      <c r="L281" s="126" t="s">
        <v>1319</v>
      </c>
      <c r="M281" s="127" t="s">
        <v>1256</v>
      </c>
      <c r="N281" s="126">
        <v>79</v>
      </c>
      <c r="O281" s="126">
        <v>15</v>
      </c>
    </row>
    <row r="282" spans="1:15">
      <c r="A282" s="126" t="s">
        <v>507</v>
      </c>
      <c r="B282" s="126">
        <v>10</v>
      </c>
      <c r="G282" s="126" t="s">
        <v>873</v>
      </c>
      <c r="H282" s="126">
        <v>45</v>
      </c>
      <c r="L282" s="126" t="s">
        <v>1320</v>
      </c>
      <c r="M282" s="127" t="s">
        <v>1256</v>
      </c>
      <c r="N282" s="126">
        <v>78</v>
      </c>
      <c r="O282" s="126">
        <v>12</v>
      </c>
    </row>
    <row r="283" spans="1:15">
      <c r="A283" s="126" t="s">
        <v>508</v>
      </c>
      <c r="B283" s="126">
        <v>8</v>
      </c>
      <c r="G283" s="126" t="s">
        <v>874</v>
      </c>
      <c r="H283" s="126">
        <v>43</v>
      </c>
      <c r="L283" s="126" t="s">
        <v>1321</v>
      </c>
      <c r="M283" s="127" t="s">
        <v>1256</v>
      </c>
      <c r="N283" s="126">
        <v>77</v>
      </c>
      <c r="O283" s="126">
        <v>10</v>
      </c>
    </row>
    <row r="284" spans="1:15">
      <c r="A284" s="126" t="s">
        <v>509</v>
      </c>
      <c r="B284" s="126">
        <v>6</v>
      </c>
      <c r="G284" s="126" t="s">
        <v>874</v>
      </c>
      <c r="H284" s="126">
        <v>43</v>
      </c>
      <c r="L284" s="126" t="s">
        <v>1322</v>
      </c>
      <c r="M284" s="127" t="s">
        <v>1256</v>
      </c>
      <c r="N284" s="126">
        <v>76</v>
      </c>
      <c r="O284" s="126">
        <v>7</v>
      </c>
    </row>
    <row r="285" spans="1:15">
      <c r="A285" s="126" t="s">
        <v>509</v>
      </c>
      <c r="B285" s="126">
        <v>6</v>
      </c>
      <c r="G285" s="126" t="s">
        <v>875</v>
      </c>
      <c r="H285" s="126">
        <v>40</v>
      </c>
      <c r="L285" s="126" t="s">
        <v>1322</v>
      </c>
      <c r="M285" s="127" t="s">
        <v>1256</v>
      </c>
      <c r="N285" s="126">
        <v>76</v>
      </c>
      <c r="O285" s="126">
        <v>7</v>
      </c>
    </row>
    <row r="286" spans="1:15">
      <c r="A286" s="126" t="s">
        <v>510</v>
      </c>
      <c r="B286" s="126">
        <v>4</v>
      </c>
      <c r="G286" s="126" t="s">
        <v>876</v>
      </c>
      <c r="H286" s="126">
        <v>38</v>
      </c>
      <c r="L286" s="126" t="s">
        <v>1323</v>
      </c>
      <c r="M286" s="127" t="s">
        <v>1256</v>
      </c>
      <c r="N286" s="126">
        <v>75</v>
      </c>
      <c r="O286" s="126">
        <v>5</v>
      </c>
    </row>
    <row r="287" spans="1:15">
      <c r="A287" s="126" t="s">
        <v>511</v>
      </c>
      <c r="B287" s="126">
        <v>3</v>
      </c>
      <c r="G287" s="126" t="s">
        <v>877</v>
      </c>
      <c r="H287" s="126">
        <v>37</v>
      </c>
      <c r="L287" s="126" t="s">
        <v>1324</v>
      </c>
      <c r="M287" s="127" t="s">
        <v>1256</v>
      </c>
      <c r="N287" s="126">
        <v>74</v>
      </c>
      <c r="O287" s="126">
        <v>3</v>
      </c>
    </row>
    <row r="288" spans="1:15">
      <c r="A288" s="126" t="s">
        <v>512</v>
      </c>
      <c r="B288" s="126">
        <v>2</v>
      </c>
      <c r="G288" s="126" t="s">
        <v>878</v>
      </c>
      <c r="H288" s="126">
        <v>34</v>
      </c>
      <c r="L288" s="126" t="s">
        <v>1325</v>
      </c>
      <c r="M288" s="127" t="s">
        <v>1256</v>
      </c>
      <c r="N288" s="126">
        <v>73</v>
      </c>
      <c r="O288" s="126">
        <v>2</v>
      </c>
    </row>
    <row r="289" spans="1:15">
      <c r="A289" s="126" t="s">
        <v>513</v>
      </c>
      <c r="B289" s="126">
        <v>2</v>
      </c>
      <c r="G289" s="126" t="s">
        <v>878</v>
      </c>
      <c r="H289" s="126">
        <v>34</v>
      </c>
      <c r="L289" s="126" t="s">
        <v>1325</v>
      </c>
      <c r="M289" s="127" t="s">
        <v>1256</v>
      </c>
      <c r="N289" s="126">
        <v>73</v>
      </c>
      <c r="O289" s="126">
        <v>2</v>
      </c>
    </row>
    <row r="290" spans="1:15">
      <c r="A290" s="126" t="s">
        <v>514</v>
      </c>
      <c r="B290" s="126">
        <v>1</v>
      </c>
      <c r="G290" s="126" t="s">
        <v>879</v>
      </c>
      <c r="H290" s="126">
        <v>31</v>
      </c>
      <c r="L290" s="126" t="s">
        <v>1326</v>
      </c>
      <c r="M290" s="127" t="s">
        <v>1256</v>
      </c>
      <c r="N290" s="126">
        <v>72</v>
      </c>
      <c r="O290" s="126">
        <v>1</v>
      </c>
    </row>
    <row r="291" spans="1:15">
      <c r="A291" s="126" t="s">
        <v>514</v>
      </c>
      <c r="B291" s="126">
        <v>1</v>
      </c>
      <c r="G291" s="126" t="s">
        <v>880</v>
      </c>
      <c r="H291" s="126">
        <v>29</v>
      </c>
      <c r="L291" s="126" t="s">
        <v>1327</v>
      </c>
      <c r="M291" s="127" t="s">
        <v>1256</v>
      </c>
      <c r="N291" s="126">
        <v>71</v>
      </c>
      <c r="O291" s="126">
        <v>1</v>
      </c>
    </row>
    <row r="292" spans="1:15">
      <c r="A292" s="126" t="s">
        <v>515</v>
      </c>
      <c r="B292" s="126">
        <v>0</v>
      </c>
      <c r="G292" s="126" t="s">
        <v>881</v>
      </c>
      <c r="H292" s="126">
        <v>26</v>
      </c>
      <c r="L292" s="126" t="s">
        <v>1328</v>
      </c>
      <c r="M292" s="127" t="s">
        <v>1256</v>
      </c>
      <c r="N292" s="126">
        <v>70</v>
      </c>
      <c r="O292" s="126">
        <v>1</v>
      </c>
    </row>
    <row r="293" spans="1:15">
      <c r="A293" s="126" t="s">
        <v>516</v>
      </c>
      <c r="B293" s="126">
        <v>0</v>
      </c>
      <c r="G293" s="126" t="s">
        <v>881</v>
      </c>
      <c r="H293" s="126">
        <v>26</v>
      </c>
      <c r="L293" s="126" t="s">
        <v>1329</v>
      </c>
      <c r="M293" s="127" t="s">
        <v>1256</v>
      </c>
      <c r="N293" s="126">
        <v>69</v>
      </c>
      <c r="O293" s="126">
        <v>0</v>
      </c>
    </row>
    <row r="294" spans="1:15">
      <c r="A294" s="126" t="s">
        <v>517</v>
      </c>
      <c r="B294" s="126">
        <v>0</v>
      </c>
      <c r="G294" s="126" t="s">
        <v>882</v>
      </c>
      <c r="H294" s="126">
        <v>22</v>
      </c>
      <c r="L294" s="126" t="s">
        <v>1329</v>
      </c>
      <c r="M294" s="127" t="s">
        <v>1256</v>
      </c>
      <c r="N294" s="126">
        <v>69</v>
      </c>
      <c r="O294" s="126">
        <v>0</v>
      </c>
    </row>
    <row r="295" spans="1:15">
      <c r="A295" s="126" t="s">
        <v>518</v>
      </c>
      <c r="B295" s="126">
        <v>97</v>
      </c>
      <c r="G295" s="126" t="s">
        <v>883</v>
      </c>
      <c r="H295" s="126">
        <v>20</v>
      </c>
      <c r="L295" s="126" t="s">
        <v>1330</v>
      </c>
      <c r="M295" s="127" t="s">
        <v>1256</v>
      </c>
      <c r="N295" s="126">
        <v>68</v>
      </c>
      <c r="O295" s="126">
        <v>0</v>
      </c>
    </row>
    <row r="296" spans="1:15">
      <c r="A296" s="126" t="s">
        <v>519</v>
      </c>
      <c r="B296" s="126">
        <v>91</v>
      </c>
      <c r="G296" s="126" t="s">
        <v>884</v>
      </c>
      <c r="H296" s="126">
        <v>17</v>
      </c>
      <c r="L296" s="126" t="s">
        <v>1331</v>
      </c>
      <c r="M296" s="127" t="s">
        <v>1256</v>
      </c>
      <c r="N296" s="126">
        <v>67</v>
      </c>
      <c r="O296" s="126">
        <v>0</v>
      </c>
    </row>
    <row r="297" spans="1:15">
      <c r="A297" s="126" t="s">
        <v>519</v>
      </c>
      <c r="B297" s="126">
        <v>91</v>
      </c>
      <c r="G297" s="126" t="s">
        <v>885</v>
      </c>
      <c r="H297" s="126">
        <v>13</v>
      </c>
      <c r="L297" s="126" t="s">
        <v>1332</v>
      </c>
      <c r="M297" s="127" t="s">
        <v>1256</v>
      </c>
      <c r="N297" s="126">
        <v>66</v>
      </c>
      <c r="O297" s="126">
        <v>0</v>
      </c>
    </row>
    <row r="298" spans="1:15">
      <c r="A298" s="126" t="s">
        <v>520</v>
      </c>
      <c r="B298" s="126">
        <v>87</v>
      </c>
      <c r="G298" s="126" t="s">
        <v>885</v>
      </c>
      <c r="H298" s="126">
        <v>13</v>
      </c>
      <c r="L298" s="126" t="s">
        <v>1333</v>
      </c>
      <c r="M298" s="127" t="s">
        <v>1334</v>
      </c>
      <c r="N298" s="126">
        <v>138</v>
      </c>
      <c r="O298" s="126">
        <v>100</v>
      </c>
    </row>
    <row r="299" spans="1:15">
      <c r="A299" s="126" t="s">
        <v>521</v>
      </c>
      <c r="B299" s="126">
        <v>83</v>
      </c>
      <c r="G299" s="126" t="s">
        <v>886</v>
      </c>
      <c r="H299" s="126">
        <v>10</v>
      </c>
      <c r="L299" s="126" t="s">
        <v>1335</v>
      </c>
      <c r="M299" s="127" t="s">
        <v>1334</v>
      </c>
      <c r="N299" s="126">
        <v>137</v>
      </c>
      <c r="O299" s="126">
        <v>99</v>
      </c>
    </row>
    <row r="300" spans="1:15">
      <c r="A300" s="126" t="s">
        <v>521</v>
      </c>
      <c r="B300" s="126">
        <v>83</v>
      </c>
      <c r="G300" s="126" t="s">
        <v>887</v>
      </c>
      <c r="H300" s="126">
        <v>7</v>
      </c>
      <c r="L300" s="126" t="s">
        <v>1336</v>
      </c>
      <c r="M300" s="127" t="s">
        <v>1334</v>
      </c>
      <c r="N300" s="126">
        <v>136</v>
      </c>
      <c r="O300" s="126">
        <v>99</v>
      </c>
    </row>
    <row r="301" spans="1:15">
      <c r="A301" s="126" t="s">
        <v>522</v>
      </c>
      <c r="B301" s="126">
        <v>80</v>
      </c>
      <c r="G301" s="126" t="s">
        <v>888</v>
      </c>
      <c r="H301" s="126">
        <v>4</v>
      </c>
      <c r="L301" s="126" t="s">
        <v>1337</v>
      </c>
      <c r="M301" s="127" t="s">
        <v>1334</v>
      </c>
      <c r="N301" s="126">
        <v>135</v>
      </c>
      <c r="O301" s="126">
        <v>99</v>
      </c>
    </row>
    <row r="302" spans="1:15">
      <c r="A302" s="126" t="s">
        <v>523</v>
      </c>
      <c r="B302" s="126">
        <v>77</v>
      </c>
      <c r="G302" s="126" t="s">
        <v>888</v>
      </c>
      <c r="H302" s="126">
        <v>4</v>
      </c>
      <c r="L302" s="126" t="s">
        <v>1338</v>
      </c>
      <c r="M302" s="127" t="s">
        <v>1334</v>
      </c>
      <c r="N302" s="126">
        <v>134</v>
      </c>
      <c r="O302" s="126">
        <v>98</v>
      </c>
    </row>
    <row r="303" spans="1:15">
      <c r="A303" s="126" t="s">
        <v>523</v>
      </c>
      <c r="B303" s="126">
        <v>77</v>
      </c>
      <c r="G303" s="126" t="s">
        <v>889</v>
      </c>
      <c r="H303" s="126">
        <v>2</v>
      </c>
      <c r="L303" s="126" t="s">
        <v>1339</v>
      </c>
      <c r="M303" s="127" t="s">
        <v>1334</v>
      </c>
      <c r="N303" s="126">
        <v>133</v>
      </c>
      <c r="O303" s="126">
        <v>97</v>
      </c>
    </row>
    <row r="304" spans="1:15">
      <c r="A304" s="126" t="s">
        <v>524</v>
      </c>
      <c r="B304" s="126">
        <v>74</v>
      </c>
      <c r="G304" s="126" t="s">
        <v>890</v>
      </c>
      <c r="H304" s="126">
        <v>1</v>
      </c>
      <c r="L304" s="126" t="s">
        <v>1340</v>
      </c>
      <c r="M304" s="127" t="s">
        <v>1334</v>
      </c>
      <c r="N304" s="126">
        <v>132</v>
      </c>
      <c r="O304" s="126">
        <v>96</v>
      </c>
    </row>
    <row r="305" spans="1:15">
      <c r="A305" s="126" t="s">
        <v>525</v>
      </c>
      <c r="B305" s="126">
        <v>70</v>
      </c>
      <c r="G305" s="126" t="s">
        <v>891</v>
      </c>
      <c r="H305" s="126">
        <v>1</v>
      </c>
      <c r="L305" s="126" t="s">
        <v>1340</v>
      </c>
      <c r="M305" s="127" t="s">
        <v>1334</v>
      </c>
      <c r="N305" s="126">
        <v>132</v>
      </c>
      <c r="O305" s="126">
        <v>96</v>
      </c>
    </row>
    <row r="306" spans="1:15">
      <c r="A306" s="126" t="s">
        <v>526</v>
      </c>
      <c r="B306" s="126">
        <v>67</v>
      </c>
      <c r="G306" s="126" t="s">
        <v>892</v>
      </c>
      <c r="H306" s="126">
        <v>0</v>
      </c>
      <c r="L306" s="126" t="s">
        <v>1341</v>
      </c>
      <c r="M306" s="127" t="s">
        <v>1334</v>
      </c>
      <c r="N306" s="126">
        <v>131</v>
      </c>
      <c r="O306" s="126">
        <v>95</v>
      </c>
    </row>
    <row r="307" spans="1:15">
      <c r="A307" s="126" t="s">
        <v>526</v>
      </c>
      <c r="B307" s="126">
        <v>67</v>
      </c>
      <c r="G307" s="126" t="s">
        <v>892</v>
      </c>
      <c r="H307" s="126">
        <v>0</v>
      </c>
      <c r="L307" s="126" t="s">
        <v>1342</v>
      </c>
      <c r="M307" s="127" t="s">
        <v>1334</v>
      </c>
      <c r="N307" s="126">
        <v>130</v>
      </c>
      <c r="O307" s="126">
        <v>95</v>
      </c>
    </row>
    <row r="308" spans="1:15">
      <c r="A308" s="126" t="s">
        <v>527</v>
      </c>
      <c r="B308" s="126">
        <v>65</v>
      </c>
      <c r="G308" s="126" t="s">
        <v>893</v>
      </c>
      <c r="H308" s="126">
        <v>0</v>
      </c>
      <c r="L308" s="126" t="s">
        <v>1343</v>
      </c>
      <c r="M308" s="127" t="s">
        <v>1334</v>
      </c>
      <c r="N308" s="126">
        <v>129</v>
      </c>
      <c r="O308" s="126">
        <v>94</v>
      </c>
    </row>
    <row r="309" spans="1:15">
      <c r="A309" s="126" t="s">
        <v>528</v>
      </c>
      <c r="B309" s="126">
        <v>63</v>
      </c>
      <c r="G309" s="126" t="s">
        <v>894</v>
      </c>
      <c r="H309" s="126">
        <v>0</v>
      </c>
      <c r="L309" s="126" t="s">
        <v>1344</v>
      </c>
      <c r="M309" s="127" t="s">
        <v>1334</v>
      </c>
      <c r="N309" s="126">
        <v>128</v>
      </c>
      <c r="O309" s="126">
        <v>92</v>
      </c>
    </row>
    <row r="310" spans="1:15">
      <c r="A310" s="126" t="s">
        <v>529</v>
      </c>
      <c r="B310" s="126">
        <v>60</v>
      </c>
      <c r="G310" s="126" t="s">
        <v>895</v>
      </c>
      <c r="H310" s="126">
        <v>0</v>
      </c>
      <c r="L310" s="126" t="s">
        <v>1344</v>
      </c>
      <c r="M310" s="127" t="s">
        <v>1334</v>
      </c>
      <c r="N310" s="126">
        <v>128</v>
      </c>
      <c r="O310" s="126">
        <v>92</v>
      </c>
    </row>
    <row r="311" spans="1:15">
      <c r="A311" s="126" t="s">
        <v>529</v>
      </c>
      <c r="B311" s="126">
        <v>60</v>
      </c>
      <c r="G311" s="126" t="s">
        <v>895</v>
      </c>
      <c r="H311" s="126">
        <v>0</v>
      </c>
      <c r="L311" s="126" t="s">
        <v>1345</v>
      </c>
      <c r="M311" s="127" t="s">
        <v>1334</v>
      </c>
      <c r="N311" s="126">
        <v>127</v>
      </c>
      <c r="O311" s="126">
        <v>91</v>
      </c>
    </row>
    <row r="312" spans="1:15">
      <c r="A312" s="126" t="s">
        <v>530</v>
      </c>
      <c r="B312" s="126">
        <v>58</v>
      </c>
      <c r="G312" s="126" t="s">
        <v>896</v>
      </c>
      <c r="H312" s="126">
        <v>100</v>
      </c>
      <c r="L312" s="126" t="s">
        <v>1346</v>
      </c>
      <c r="M312" s="127" t="s">
        <v>1334</v>
      </c>
      <c r="N312" s="126">
        <v>126</v>
      </c>
      <c r="O312" s="126">
        <v>90</v>
      </c>
    </row>
    <row r="313" spans="1:15">
      <c r="A313" s="126" t="s">
        <v>531</v>
      </c>
      <c r="B313" s="126">
        <v>56</v>
      </c>
      <c r="G313" s="126" t="s">
        <v>897</v>
      </c>
      <c r="H313" s="126">
        <v>100</v>
      </c>
      <c r="L313" s="126" t="s">
        <v>1347</v>
      </c>
      <c r="M313" s="127" t="s">
        <v>1334</v>
      </c>
      <c r="N313" s="126">
        <v>125</v>
      </c>
      <c r="O313" s="126">
        <v>88</v>
      </c>
    </row>
    <row r="314" spans="1:15">
      <c r="A314" s="126" t="s">
        <v>531</v>
      </c>
      <c r="B314" s="126">
        <v>56</v>
      </c>
      <c r="G314" s="126" t="s">
        <v>898</v>
      </c>
      <c r="H314" s="126">
        <v>99</v>
      </c>
      <c r="L314" s="126" t="s">
        <v>1348</v>
      </c>
      <c r="M314" s="127" t="s">
        <v>1334</v>
      </c>
      <c r="N314" s="126">
        <v>124</v>
      </c>
      <c r="O314" s="126">
        <v>87</v>
      </c>
    </row>
    <row r="315" spans="1:15">
      <c r="A315" s="126" t="s">
        <v>532</v>
      </c>
      <c r="B315" s="126">
        <v>53</v>
      </c>
      <c r="G315" s="126" t="s">
        <v>899</v>
      </c>
      <c r="H315" s="126">
        <v>97</v>
      </c>
      <c r="L315" s="126" t="s">
        <v>1349</v>
      </c>
      <c r="M315" s="127" t="s">
        <v>1334</v>
      </c>
      <c r="N315" s="126">
        <v>123</v>
      </c>
      <c r="O315" s="126">
        <v>85</v>
      </c>
    </row>
    <row r="316" spans="1:15">
      <c r="A316" s="126" t="s">
        <v>533</v>
      </c>
      <c r="B316" s="126">
        <v>51</v>
      </c>
      <c r="G316" s="126" t="s">
        <v>899</v>
      </c>
      <c r="H316" s="126">
        <v>97</v>
      </c>
      <c r="L316" s="126" t="s">
        <v>1349</v>
      </c>
      <c r="M316" s="127" t="s">
        <v>1334</v>
      </c>
      <c r="N316" s="126">
        <v>123</v>
      </c>
      <c r="O316" s="126">
        <v>85</v>
      </c>
    </row>
    <row r="317" spans="1:15">
      <c r="A317" s="126" t="s">
        <v>533</v>
      </c>
      <c r="B317" s="126">
        <v>51</v>
      </c>
      <c r="G317" s="126" t="s">
        <v>900</v>
      </c>
      <c r="H317" s="126">
        <v>96</v>
      </c>
      <c r="L317" s="126" t="s">
        <v>1350</v>
      </c>
      <c r="M317" s="127" t="s">
        <v>1334</v>
      </c>
      <c r="N317" s="126">
        <v>122</v>
      </c>
      <c r="O317" s="126">
        <v>83</v>
      </c>
    </row>
    <row r="318" spans="1:15">
      <c r="A318" s="126" t="s">
        <v>534</v>
      </c>
      <c r="B318" s="126">
        <v>48</v>
      </c>
      <c r="G318" s="126" t="s">
        <v>901</v>
      </c>
      <c r="H318" s="126">
        <v>94</v>
      </c>
      <c r="L318" s="126" t="s">
        <v>1351</v>
      </c>
      <c r="M318" s="127" t="s">
        <v>1334</v>
      </c>
      <c r="N318" s="126">
        <v>121</v>
      </c>
      <c r="O318" s="126">
        <v>82</v>
      </c>
    </row>
    <row r="319" spans="1:15">
      <c r="A319" s="126" t="s">
        <v>535</v>
      </c>
      <c r="B319" s="126">
        <v>47</v>
      </c>
      <c r="G319" s="126" t="s">
        <v>902</v>
      </c>
      <c r="H319" s="126">
        <v>92</v>
      </c>
      <c r="L319" s="126" t="s">
        <v>1352</v>
      </c>
      <c r="M319" s="127" t="s">
        <v>1334</v>
      </c>
      <c r="N319" s="126">
        <v>120</v>
      </c>
      <c r="O319" s="126">
        <v>82</v>
      </c>
    </row>
    <row r="320" spans="1:15">
      <c r="A320" s="126" t="s">
        <v>536</v>
      </c>
      <c r="B320" s="126">
        <v>44</v>
      </c>
      <c r="G320" s="126" t="s">
        <v>903</v>
      </c>
      <c r="H320" s="126">
        <v>90</v>
      </c>
      <c r="L320" s="126" t="s">
        <v>1353</v>
      </c>
      <c r="M320" s="127" t="s">
        <v>1334</v>
      </c>
      <c r="N320" s="126">
        <v>119</v>
      </c>
      <c r="O320" s="126">
        <v>79</v>
      </c>
    </row>
    <row r="321" spans="1:15">
      <c r="A321" s="126" t="s">
        <v>536</v>
      </c>
      <c r="B321" s="126">
        <v>44</v>
      </c>
      <c r="G321" s="126" t="s">
        <v>904</v>
      </c>
      <c r="H321" s="126">
        <v>87</v>
      </c>
      <c r="L321" s="126" t="s">
        <v>1353</v>
      </c>
      <c r="M321" s="127" t="s">
        <v>1334</v>
      </c>
      <c r="N321" s="126">
        <v>119</v>
      </c>
      <c r="O321" s="126">
        <v>79</v>
      </c>
    </row>
    <row r="322" spans="1:15">
      <c r="A322" s="126" t="s">
        <v>537</v>
      </c>
      <c r="B322" s="126">
        <v>42</v>
      </c>
      <c r="G322" s="126" t="s">
        <v>904</v>
      </c>
      <c r="H322" s="126">
        <v>87</v>
      </c>
      <c r="L322" s="126" t="s">
        <v>1354</v>
      </c>
      <c r="M322" s="127" t="s">
        <v>1334</v>
      </c>
      <c r="N322" s="126">
        <v>118</v>
      </c>
      <c r="O322" s="126">
        <v>77</v>
      </c>
    </row>
    <row r="323" spans="1:15">
      <c r="A323" s="126" t="s">
        <v>538</v>
      </c>
      <c r="B323" s="126">
        <v>39</v>
      </c>
      <c r="G323" s="126" t="s">
        <v>905</v>
      </c>
      <c r="H323" s="126">
        <v>83</v>
      </c>
      <c r="L323" s="126" t="s">
        <v>1355</v>
      </c>
      <c r="M323" s="127" t="s">
        <v>1334</v>
      </c>
      <c r="N323" s="126">
        <v>117</v>
      </c>
      <c r="O323" s="126">
        <v>76</v>
      </c>
    </row>
    <row r="324" spans="1:15">
      <c r="A324" s="126" t="s">
        <v>538</v>
      </c>
      <c r="B324" s="126">
        <v>39</v>
      </c>
      <c r="G324" s="126" t="s">
        <v>906</v>
      </c>
      <c r="H324" s="126">
        <v>81</v>
      </c>
      <c r="L324" s="126" t="s">
        <v>1356</v>
      </c>
      <c r="M324" s="127" t="s">
        <v>1334</v>
      </c>
      <c r="N324" s="126">
        <v>116</v>
      </c>
      <c r="O324" s="126">
        <v>75</v>
      </c>
    </row>
    <row r="325" spans="1:15">
      <c r="A325" s="126" t="s">
        <v>539</v>
      </c>
      <c r="B325" s="126">
        <v>36</v>
      </c>
      <c r="G325" s="126" t="s">
        <v>907</v>
      </c>
      <c r="H325" s="126">
        <v>79</v>
      </c>
      <c r="L325" s="126" t="s">
        <v>1357</v>
      </c>
      <c r="M325" s="127" t="s">
        <v>1334</v>
      </c>
      <c r="N325" s="126">
        <v>115</v>
      </c>
      <c r="O325" s="126">
        <v>73</v>
      </c>
    </row>
    <row r="326" spans="1:15">
      <c r="A326" s="126" t="s">
        <v>540</v>
      </c>
      <c r="B326" s="126">
        <v>33</v>
      </c>
      <c r="G326" s="126" t="s">
        <v>908</v>
      </c>
      <c r="H326" s="126">
        <v>77</v>
      </c>
      <c r="L326" s="126" t="s">
        <v>1357</v>
      </c>
      <c r="M326" s="127" t="s">
        <v>1334</v>
      </c>
      <c r="N326" s="126">
        <v>115</v>
      </c>
      <c r="O326" s="126">
        <v>73</v>
      </c>
    </row>
    <row r="327" spans="1:15">
      <c r="A327" s="126" t="s">
        <v>541</v>
      </c>
      <c r="B327" s="126">
        <v>29</v>
      </c>
      <c r="G327" s="126" t="s">
        <v>909</v>
      </c>
      <c r="H327" s="126">
        <v>73</v>
      </c>
      <c r="L327" s="126" t="s">
        <v>1358</v>
      </c>
      <c r="M327" s="127" t="s">
        <v>1334</v>
      </c>
      <c r="N327" s="126">
        <v>114</v>
      </c>
      <c r="O327" s="126">
        <v>71</v>
      </c>
    </row>
    <row r="328" spans="1:15">
      <c r="A328" s="126" t="s">
        <v>541</v>
      </c>
      <c r="B328" s="126">
        <v>29</v>
      </c>
      <c r="G328" s="126" t="s">
        <v>909</v>
      </c>
      <c r="H328" s="126">
        <v>73</v>
      </c>
      <c r="L328" s="126" t="s">
        <v>1359</v>
      </c>
      <c r="M328" s="127" t="s">
        <v>1334</v>
      </c>
      <c r="N328" s="126">
        <v>113</v>
      </c>
      <c r="O328" s="126">
        <v>69</v>
      </c>
    </row>
    <row r="329" spans="1:15">
      <c r="A329" s="126" t="s">
        <v>542</v>
      </c>
      <c r="B329" s="126">
        <v>25</v>
      </c>
      <c r="G329" s="126" t="s">
        <v>910</v>
      </c>
      <c r="H329" s="126">
        <v>69</v>
      </c>
      <c r="L329" s="126" t="s">
        <v>1360</v>
      </c>
      <c r="M329" s="127" t="s">
        <v>1334</v>
      </c>
      <c r="N329" s="126">
        <v>112</v>
      </c>
      <c r="O329" s="126">
        <v>67</v>
      </c>
    </row>
    <row r="330" spans="1:15">
      <c r="A330" s="126" t="s">
        <v>543</v>
      </c>
      <c r="B330" s="126">
        <v>21</v>
      </c>
      <c r="G330" s="126" t="s">
        <v>911</v>
      </c>
      <c r="H330" s="126">
        <v>67</v>
      </c>
      <c r="L330" s="126" t="s">
        <v>1361</v>
      </c>
      <c r="M330" s="127" t="s">
        <v>1334</v>
      </c>
      <c r="N330" s="126">
        <v>111</v>
      </c>
      <c r="O330" s="126">
        <v>66</v>
      </c>
    </row>
    <row r="331" spans="1:15">
      <c r="A331" s="126" t="s">
        <v>543</v>
      </c>
      <c r="B331" s="126">
        <v>21</v>
      </c>
      <c r="G331" s="126" t="s">
        <v>912</v>
      </c>
      <c r="H331" s="126">
        <v>65</v>
      </c>
      <c r="L331" s="126" t="s">
        <v>1362</v>
      </c>
      <c r="M331" s="127" t="s">
        <v>1334</v>
      </c>
      <c r="N331" s="126">
        <v>110</v>
      </c>
      <c r="O331" s="126">
        <v>64</v>
      </c>
    </row>
    <row r="332" spans="1:15">
      <c r="A332" s="126" t="s">
        <v>544</v>
      </c>
      <c r="B332" s="126">
        <v>17</v>
      </c>
      <c r="G332" s="126" t="s">
        <v>913</v>
      </c>
      <c r="H332" s="126">
        <v>63</v>
      </c>
      <c r="L332" s="126" t="s">
        <v>1362</v>
      </c>
      <c r="M332" s="127" t="s">
        <v>1334</v>
      </c>
      <c r="N332" s="126">
        <v>110</v>
      </c>
      <c r="O332" s="126">
        <v>64</v>
      </c>
    </row>
    <row r="333" spans="1:15">
      <c r="A333" s="126" t="s">
        <v>545</v>
      </c>
      <c r="B333" s="126">
        <v>14</v>
      </c>
      <c r="G333" s="126" t="s">
        <v>914</v>
      </c>
      <c r="H333" s="126">
        <v>60</v>
      </c>
      <c r="L333" s="126" t="s">
        <v>1363</v>
      </c>
      <c r="M333" s="127" t="s">
        <v>1334</v>
      </c>
      <c r="N333" s="126">
        <v>109</v>
      </c>
      <c r="O333" s="126">
        <v>62</v>
      </c>
    </row>
    <row r="334" spans="1:15">
      <c r="A334" s="126" t="s">
        <v>546</v>
      </c>
      <c r="B334" s="126">
        <v>10</v>
      </c>
      <c r="G334" s="126" t="s">
        <v>914</v>
      </c>
      <c r="H334" s="126">
        <v>60</v>
      </c>
      <c r="L334" s="126" t="s">
        <v>1364</v>
      </c>
      <c r="M334" s="127" t="s">
        <v>1334</v>
      </c>
      <c r="N334" s="126">
        <v>108</v>
      </c>
      <c r="O334" s="126">
        <v>61</v>
      </c>
    </row>
    <row r="335" spans="1:15">
      <c r="A335" s="126" t="s">
        <v>546</v>
      </c>
      <c r="B335" s="126">
        <v>10</v>
      </c>
      <c r="G335" s="126" t="s">
        <v>915</v>
      </c>
      <c r="H335" s="126">
        <v>57</v>
      </c>
      <c r="L335" s="126" t="s">
        <v>1365</v>
      </c>
      <c r="M335" s="127" t="s">
        <v>1334</v>
      </c>
      <c r="N335" s="126">
        <v>107</v>
      </c>
      <c r="O335" s="126">
        <v>59</v>
      </c>
    </row>
    <row r="336" spans="1:15">
      <c r="A336" s="126" t="s">
        <v>547</v>
      </c>
      <c r="B336" s="126">
        <v>6</v>
      </c>
      <c r="G336" s="126" t="s">
        <v>916</v>
      </c>
      <c r="H336" s="126">
        <v>54</v>
      </c>
      <c r="L336" s="126" t="s">
        <v>1366</v>
      </c>
      <c r="M336" s="127" t="s">
        <v>1334</v>
      </c>
      <c r="N336" s="126">
        <v>106</v>
      </c>
      <c r="O336" s="126">
        <v>57</v>
      </c>
    </row>
    <row r="337" spans="1:15">
      <c r="A337" s="126" t="s">
        <v>548</v>
      </c>
      <c r="B337" s="126">
        <v>4</v>
      </c>
      <c r="G337" s="126" t="s">
        <v>917</v>
      </c>
      <c r="H337" s="126">
        <v>52</v>
      </c>
      <c r="L337" s="126" t="s">
        <v>1366</v>
      </c>
      <c r="M337" s="127" t="s">
        <v>1334</v>
      </c>
      <c r="N337" s="126">
        <v>106</v>
      </c>
      <c r="O337" s="126">
        <v>57</v>
      </c>
    </row>
    <row r="338" spans="1:15">
      <c r="A338" s="126" t="s">
        <v>548</v>
      </c>
      <c r="B338" s="126">
        <v>4</v>
      </c>
      <c r="G338" s="126" t="s">
        <v>918</v>
      </c>
      <c r="H338" s="126">
        <v>50</v>
      </c>
      <c r="L338" s="126" t="s">
        <v>1367</v>
      </c>
      <c r="M338" s="127" t="s">
        <v>1334</v>
      </c>
      <c r="N338" s="126">
        <v>105</v>
      </c>
      <c r="O338" s="126">
        <v>55</v>
      </c>
    </row>
    <row r="339" spans="1:15">
      <c r="A339" s="126" t="s">
        <v>549</v>
      </c>
      <c r="B339" s="126">
        <v>2</v>
      </c>
      <c r="G339" s="126" t="s">
        <v>919</v>
      </c>
      <c r="H339" s="126">
        <v>47</v>
      </c>
      <c r="L339" s="126" t="s">
        <v>1368</v>
      </c>
      <c r="M339" s="127" t="s">
        <v>1334</v>
      </c>
      <c r="N339" s="126">
        <v>104</v>
      </c>
      <c r="O339" s="126">
        <v>54</v>
      </c>
    </row>
    <row r="340" spans="1:15">
      <c r="A340" s="126" t="s">
        <v>550</v>
      </c>
      <c r="B340" s="126">
        <v>1</v>
      </c>
      <c r="G340" s="126" t="s">
        <v>919</v>
      </c>
      <c r="H340" s="126">
        <v>47</v>
      </c>
      <c r="L340" s="126" t="s">
        <v>1369</v>
      </c>
      <c r="M340" s="127" t="s">
        <v>1334</v>
      </c>
      <c r="N340" s="126">
        <v>103</v>
      </c>
      <c r="O340" s="126">
        <v>52</v>
      </c>
    </row>
    <row r="341" spans="1:15">
      <c r="A341" s="126" t="s">
        <v>550</v>
      </c>
      <c r="B341" s="126">
        <v>1</v>
      </c>
      <c r="G341" s="126" t="s">
        <v>920</v>
      </c>
      <c r="H341" s="126">
        <v>43</v>
      </c>
      <c r="L341" s="126" t="s">
        <v>1370</v>
      </c>
      <c r="M341" s="127" t="s">
        <v>1334</v>
      </c>
      <c r="N341" s="126">
        <v>102</v>
      </c>
      <c r="O341" s="126">
        <v>51</v>
      </c>
    </row>
    <row r="342" spans="1:15">
      <c r="A342" s="126" t="s">
        <v>551</v>
      </c>
      <c r="B342" s="126">
        <v>0</v>
      </c>
      <c r="G342" s="126" t="s">
        <v>921</v>
      </c>
      <c r="H342" s="126">
        <v>41</v>
      </c>
      <c r="L342" s="126" t="s">
        <v>1371</v>
      </c>
      <c r="M342" s="127" t="s">
        <v>1334</v>
      </c>
      <c r="N342" s="126">
        <v>101</v>
      </c>
      <c r="O342" s="126">
        <v>49</v>
      </c>
    </row>
    <row r="343" spans="1:15">
      <c r="A343" s="126" t="s">
        <v>552</v>
      </c>
      <c r="B343" s="126">
        <v>0</v>
      </c>
      <c r="G343" s="126" t="s">
        <v>922</v>
      </c>
      <c r="H343" s="126">
        <v>39</v>
      </c>
      <c r="L343" s="126" t="s">
        <v>1371</v>
      </c>
      <c r="M343" s="127" t="s">
        <v>1334</v>
      </c>
      <c r="N343" s="126">
        <v>101</v>
      </c>
      <c r="O343" s="126">
        <v>49</v>
      </c>
    </row>
    <row r="344" spans="1:15">
      <c r="A344" s="126" t="s">
        <v>553</v>
      </c>
      <c r="B344" s="126">
        <v>99</v>
      </c>
      <c r="G344" s="126" t="s">
        <v>923</v>
      </c>
      <c r="H344" s="126">
        <v>36</v>
      </c>
      <c r="L344" s="126" t="s">
        <v>1372</v>
      </c>
      <c r="M344" s="127" t="s">
        <v>1334</v>
      </c>
      <c r="N344" s="126">
        <v>100</v>
      </c>
      <c r="O344" s="126">
        <v>47</v>
      </c>
    </row>
    <row r="345" spans="1:15">
      <c r="A345" s="126" t="s">
        <v>554</v>
      </c>
      <c r="B345" s="126">
        <v>98</v>
      </c>
      <c r="G345" s="126" t="s">
        <v>924</v>
      </c>
      <c r="H345" s="126">
        <v>32</v>
      </c>
      <c r="L345" s="126" t="s">
        <v>1373</v>
      </c>
      <c r="M345" s="127" t="s">
        <v>1334</v>
      </c>
      <c r="N345" s="126">
        <v>99</v>
      </c>
      <c r="O345" s="126">
        <v>46</v>
      </c>
    </row>
    <row r="346" spans="1:15">
      <c r="A346" s="126" t="s">
        <v>555</v>
      </c>
      <c r="B346" s="126">
        <v>96</v>
      </c>
      <c r="G346" s="126" t="s">
        <v>924</v>
      </c>
      <c r="H346" s="126">
        <v>32</v>
      </c>
      <c r="L346" s="126" t="s">
        <v>1374</v>
      </c>
      <c r="M346" s="127" t="s">
        <v>1334</v>
      </c>
      <c r="N346" s="126">
        <v>98</v>
      </c>
      <c r="O346" s="126">
        <v>45</v>
      </c>
    </row>
    <row r="347" spans="1:15">
      <c r="A347" s="126" t="s">
        <v>556</v>
      </c>
      <c r="B347" s="126">
        <v>94</v>
      </c>
      <c r="G347" s="126" t="s">
        <v>925</v>
      </c>
      <c r="H347" s="126">
        <v>27</v>
      </c>
      <c r="L347" s="126" t="s">
        <v>1375</v>
      </c>
      <c r="M347" s="127" t="s">
        <v>1334</v>
      </c>
      <c r="N347" s="126">
        <v>97</v>
      </c>
      <c r="O347" s="126">
        <v>43</v>
      </c>
    </row>
    <row r="348" spans="1:15">
      <c r="A348" s="126" t="s">
        <v>557</v>
      </c>
      <c r="B348" s="126">
        <v>91</v>
      </c>
      <c r="G348" s="126" t="s">
        <v>926</v>
      </c>
      <c r="H348" s="126">
        <v>24</v>
      </c>
      <c r="L348" s="126" t="s">
        <v>1375</v>
      </c>
      <c r="M348" s="127" t="s">
        <v>1334</v>
      </c>
      <c r="N348" s="126">
        <v>97</v>
      </c>
      <c r="O348" s="126">
        <v>43</v>
      </c>
    </row>
    <row r="349" spans="1:15">
      <c r="A349" s="126" t="s">
        <v>557</v>
      </c>
      <c r="B349" s="126">
        <v>91</v>
      </c>
      <c r="G349" s="126" t="s">
        <v>927</v>
      </c>
      <c r="H349" s="126">
        <v>21</v>
      </c>
      <c r="L349" s="126" t="s">
        <v>1376</v>
      </c>
      <c r="M349" s="127" t="s">
        <v>1334</v>
      </c>
      <c r="N349" s="126">
        <v>96</v>
      </c>
      <c r="O349" s="126">
        <v>41</v>
      </c>
    </row>
    <row r="350" spans="1:15">
      <c r="A350" s="126" t="s">
        <v>558</v>
      </c>
      <c r="B350" s="126">
        <v>88</v>
      </c>
      <c r="G350" s="126" t="s">
        <v>928</v>
      </c>
      <c r="H350" s="126">
        <v>18</v>
      </c>
      <c r="L350" s="126" t="s">
        <v>1377</v>
      </c>
      <c r="M350" s="127" t="s">
        <v>1334</v>
      </c>
      <c r="N350" s="126">
        <v>95</v>
      </c>
      <c r="O350" s="126">
        <v>40</v>
      </c>
    </row>
    <row r="351" spans="1:15">
      <c r="A351" s="126" t="s">
        <v>559</v>
      </c>
      <c r="B351" s="126">
        <v>86</v>
      </c>
      <c r="G351" s="126" t="s">
        <v>929</v>
      </c>
      <c r="H351" s="126">
        <v>12</v>
      </c>
      <c r="L351" s="126" t="s">
        <v>1378</v>
      </c>
      <c r="M351" s="127" t="s">
        <v>1334</v>
      </c>
      <c r="N351" s="126">
        <v>94</v>
      </c>
      <c r="O351" s="126">
        <v>39</v>
      </c>
    </row>
    <row r="352" spans="1:15">
      <c r="A352" s="126" t="s">
        <v>560</v>
      </c>
      <c r="B352" s="126">
        <v>82</v>
      </c>
      <c r="G352" s="126" t="s">
        <v>929</v>
      </c>
      <c r="H352" s="126">
        <v>12</v>
      </c>
      <c r="L352" s="126" t="s">
        <v>1379</v>
      </c>
      <c r="M352" s="127" t="s">
        <v>1334</v>
      </c>
      <c r="N352" s="126">
        <v>93</v>
      </c>
      <c r="O352" s="126">
        <v>38</v>
      </c>
    </row>
    <row r="353" spans="1:15">
      <c r="A353" s="126" t="s">
        <v>561</v>
      </c>
      <c r="B353" s="126">
        <v>80</v>
      </c>
      <c r="G353" s="126" t="s">
        <v>930</v>
      </c>
      <c r="H353" s="126">
        <v>8</v>
      </c>
      <c r="L353" s="126" t="s">
        <v>1380</v>
      </c>
      <c r="M353" s="127" t="s">
        <v>1334</v>
      </c>
      <c r="N353" s="126">
        <v>92</v>
      </c>
      <c r="O353" s="126">
        <v>36</v>
      </c>
    </row>
    <row r="354" spans="1:15">
      <c r="A354" s="126" t="s">
        <v>562</v>
      </c>
      <c r="B354" s="126">
        <v>76</v>
      </c>
      <c r="G354" s="126" t="s">
        <v>931</v>
      </c>
      <c r="H354" s="126">
        <v>5</v>
      </c>
      <c r="L354" s="126" t="s">
        <v>1380</v>
      </c>
      <c r="M354" s="127" t="s">
        <v>1334</v>
      </c>
      <c r="N354" s="126">
        <v>92</v>
      </c>
      <c r="O354" s="126">
        <v>36</v>
      </c>
    </row>
    <row r="355" spans="1:15">
      <c r="A355" s="126" t="s">
        <v>562</v>
      </c>
      <c r="B355" s="126">
        <v>76</v>
      </c>
      <c r="G355" s="126" t="s">
        <v>932</v>
      </c>
      <c r="H355" s="126">
        <v>3</v>
      </c>
      <c r="L355" s="126" t="s">
        <v>1381</v>
      </c>
      <c r="M355" s="127" t="s">
        <v>1334</v>
      </c>
      <c r="N355" s="126">
        <v>91</v>
      </c>
      <c r="O355" s="126">
        <v>35</v>
      </c>
    </row>
    <row r="356" spans="1:15">
      <c r="A356" s="126" t="s">
        <v>563</v>
      </c>
      <c r="B356" s="126">
        <v>72</v>
      </c>
      <c r="G356" s="126" t="s">
        <v>933</v>
      </c>
      <c r="H356" s="126">
        <v>2</v>
      </c>
      <c r="L356" s="126" t="s">
        <v>1382</v>
      </c>
      <c r="M356" s="127" t="s">
        <v>1334</v>
      </c>
      <c r="N356" s="126">
        <v>90</v>
      </c>
      <c r="O356" s="126">
        <v>34</v>
      </c>
    </row>
    <row r="357" spans="1:15">
      <c r="A357" s="126" t="s">
        <v>564</v>
      </c>
      <c r="B357" s="126">
        <v>69</v>
      </c>
      <c r="G357" s="126" t="s">
        <v>934</v>
      </c>
      <c r="H357" s="126">
        <v>1</v>
      </c>
      <c r="L357" s="126" t="s">
        <v>1383</v>
      </c>
      <c r="M357" s="127" t="s">
        <v>1334</v>
      </c>
      <c r="N357" s="126">
        <v>89</v>
      </c>
      <c r="O357" s="126">
        <v>33</v>
      </c>
    </row>
    <row r="358" spans="1:15">
      <c r="A358" s="126" t="s">
        <v>565</v>
      </c>
      <c r="B358" s="126">
        <v>67</v>
      </c>
      <c r="G358" s="126" t="s">
        <v>934</v>
      </c>
      <c r="H358" s="126">
        <v>1</v>
      </c>
      <c r="L358" s="126" t="s">
        <v>1384</v>
      </c>
      <c r="M358" s="127" t="s">
        <v>1334</v>
      </c>
      <c r="N358" s="126">
        <v>88</v>
      </c>
      <c r="O358" s="126">
        <v>32</v>
      </c>
    </row>
    <row r="359" spans="1:15">
      <c r="A359" s="126" t="s">
        <v>566</v>
      </c>
      <c r="B359" s="126">
        <v>64</v>
      </c>
      <c r="G359" s="126" t="s">
        <v>935</v>
      </c>
      <c r="H359" s="126">
        <v>0</v>
      </c>
      <c r="L359" s="126" t="s">
        <v>1384</v>
      </c>
      <c r="M359" s="127" t="s">
        <v>1334</v>
      </c>
      <c r="N359" s="126">
        <v>88</v>
      </c>
      <c r="O359" s="126">
        <v>32</v>
      </c>
    </row>
    <row r="360" spans="1:15">
      <c r="A360" s="126" t="s">
        <v>567</v>
      </c>
      <c r="B360" s="126">
        <v>62</v>
      </c>
      <c r="G360" s="126" t="s">
        <v>936</v>
      </c>
      <c r="H360" s="126">
        <v>0</v>
      </c>
      <c r="L360" s="126" t="s">
        <v>1385</v>
      </c>
      <c r="M360" s="127" t="s">
        <v>1334</v>
      </c>
      <c r="N360" s="126">
        <v>87</v>
      </c>
      <c r="O360" s="126">
        <v>30</v>
      </c>
    </row>
    <row r="361" spans="1:15">
      <c r="A361" s="126" t="s">
        <v>568</v>
      </c>
      <c r="B361" s="126">
        <v>58</v>
      </c>
      <c r="G361" s="126" t="s">
        <v>937</v>
      </c>
      <c r="H361" s="126">
        <v>0</v>
      </c>
      <c r="L361" s="126" t="s">
        <v>1386</v>
      </c>
      <c r="M361" s="127" t="s">
        <v>1334</v>
      </c>
      <c r="N361" s="126">
        <v>86</v>
      </c>
      <c r="O361" s="126">
        <v>29</v>
      </c>
    </row>
    <row r="362" spans="1:15">
      <c r="A362" s="126" t="s">
        <v>568</v>
      </c>
      <c r="B362" s="126">
        <v>58</v>
      </c>
      <c r="G362" s="126" t="s">
        <v>938</v>
      </c>
      <c r="H362" s="126">
        <v>0</v>
      </c>
      <c r="L362" s="126" t="s">
        <v>1387</v>
      </c>
      <c r="M362" s="127" t="s">
        <v>1334</v>
      </c>
      <c r="N362" s="126">
        <v>85</v>
      </c>
      <c r="O362" s="126">
        <v>28</v>
      </c>
    </row>
    <row r="363" spans="1:15">
      <c r="A363" s="126" t="s">
        <v>569</v>
      </c>
      <c r="B363" s="126">
        <v>55</v>
      </c>
      <c r="G363" s="126" t="s">
        <v>939</v>
      </c>
      <c r="H363" s="126">
        <v>100</v>
      </c>
      <c r="L363" s="126" t="s">
        <v>1388</v>
      </c>
      <c r="M363" s="127" t="s">
        <v>1334</v>
      </c>
      <c r="N363" s="126">
        <v>84</v>
      </c>
      <c r="O363" s="126">
        <v>27</v>
      </c>
    </row>
    <row r="364" spans="1:15">
      <c r="A364" s="126" t="s">
        <v>570</v>
      </c>
      <c r="B364" s="126">
        <v>53</v>
      </c>
      <c r="G364" s="126" t="s">
        <v>940</v>
      </c>
      <c r="H364" s="126">
        <v>98</v>
      </c>
      <c r="L364" s="126" t="s">
        <v>1389</v>
      </c>
      <c r="M364" s="127" t="s">
        <v>1334</v>
      </c>
      <c r="N364" s="126">
        <v>83</v>
      </c>
      <c r="O364" s="126">
        <v>26</v>
      </c>
    </row>
    <row r="365" spans="1:15">
      <c r="A365" s="126" t="s">
        <v>571</v>
      </c>
      <c r="B365" s="126">
        <v>51</v>
      </c>
      <c r="G365" s="126" t="s">
        <v>940</v>
      </c>
      <c r="H365" s="126">
        <v>98</v>
      </c>
      <c r="L365" s="126" t="s">
        <v>1389</v>
      </c>
      <c r="M365" s="127" t="s">
        <v>1334</v>
      </c>
      <c r="N365" s="126">
        <v>83</v>
      </c>
      <c r="O365" s="126">
        <v>26</v>
      </c>
    </row>
    <row r="366" spans="1:15">
      <c r="A366" s="126" t="s">
        <v>572</v>
      </c>
      <c r="B366" s="126">
        <v>49</v>
      </c>
      <c r="G366" s="126" t="s">
        <v>941</v>
      </c>
      <c r="H366" s="126">
        <v>97</v>
      </c>
      <c r="L366" s="126" t="s">
        <v>1390</v>
      </c>
      <c r="M366" s="127" t="s">
        <v>1334</v>
      </c>
      <c r="N366" s="126">
        <v>82</v>
      </c>
      <c r="O366" s="126">
        <v>24</v>
      </c>
    </row>
    <row r="367" spans="1:15">
      <c r="A367" s="126" t="s">
        <v>573</v>
      </c>
      <c r="B367" s="126">
        <v>46</v>
      </c>
      <c r="G367" s="126" t="s">
        <v>942</v>
      </c>
      <c r="H367" s="126">
        <v>96</v>
      </c>
      <c r="L367" s="126" t="s">
        <v>1391</v>
      </c>
      <c r="M367" s="127" t="s">
        <v>1334</v>
      </c>
      <c r="N367" s="126">
        <v>81</v>
      </c>
      <c r="O367" s="126">
        <v>23</v>
      </c>
    </row>
    <row r="368" spans="1:15">
      <c r="A368" s="126" t="s">
        <v>573</v>
      </c>
      <c r="B368" s="126">
        <v>46</v>
      </c>
      <c r="G368" s="126" t="s">
        <v>943</v>
      </c>
      <c r="H368" s="126">
        <v>94</v>
      </c>
      <c r="L368" s="126" t="s">
        <v>1392</v>
      </c>
      <c r="M368" s="127" t="s">
        <v>1334</v>
      </c>
      <c r="N368" s="126">
        <v>80</v>
      </c>
      <c r="O368" s="126">
        <v>22</v>
      </c>
    </row>
    <row r="369" spans="1:15">
      <c r="A369" s="126" t="s">
        <v>574</v>
      </c>
      <c r="B369" s="126">
        <v>42</v>
      </c>
      <c r="G369" s="126" t="s">
        <v>944</v>
      </c>
      <c r="H369" s="126">
        <v>92</v>
      </c>
      <c r="L369" s="126" t="s">
        <v>1393</v>
      </c>
      <c r="M369" s="127" t="s">
        <v>1334</v>
      </c>
      <c r="N369" s="126">
        <v>79</v>
      </c>
      <c r="O369" s="126">
        <v>20</v>
      </c>
    </row>
    <row r="370" spans="1:15">
      <c r="A370" s="126" t="s">
        <v>575</v>
      </c>
      <c r="B370" s="126">
        <v>39</v>
      </c>
      <c r="G370" s="126" t="s">
        <v>945</v>
      </c>
      <c r="H370" s="126">
        <v>87</v>
      </c>
      <c r="L370" s="126" t="s">
        <v>1393</v>
      </c>
      <c r="M370" s="127" t="s">
        <v>1334</v>
      </c>
      <c r="N370" s="126">
        <v>79</v>
      </c>
      <c r="O370" s="126">
        <v>20</v>
      </c>
    </row>
    <row r="371" spans="1:15">
      <c r="A371" s="126" t="s">
        <v>576</v>
      </c>
      <c r="B371" s="126">
        <v>37</v>
      </c>
      <c r="G371" s="126" t="s">
        <v>945</v>
      </c>
      <c r="H371" s="126">
        <v>87</v>
      </c>
      <c r="L371" s="126" t="s">
        <v>1394</v>
      </c>
      <c r="M371" s="127" t="s">
        <v>1334</v>
      </c>
      <c r="N371" s="126">
        <v>78</v>
      </c>
      <c r="O371" s="126">
        <v>19</v>
      </c>
    </row>
    <row r="372" spans="1:15">
      <c r="A372" s="126" t="s">
        <v>577</v>
      </c>
      <c r="B372" s="126">
        <v>34</v>
      </c>
      <c r="G372" s="126" t="s">
        <v>946</v>
      </c>
      <c r="H372" s="126">
        <v>82</v>
      </c>
      <c r="L372" s="126" t="s">
        <v>1395</v>
      </c>
      <c r="M372" s="127" t="s">
        <v>1334</v>
      </c>
      <c r="N372" s="126">
        <v>77</v>
      </c>
      <c r="O372" s="126">
        <v>18</v>
      </c>
    </row>
    <row r="373" spans="1:15">
      <c r="A373" s="126" t="s">
        <v>578</v>
      </c>
      <c r="B373" s="126">
        <v>31</v>
      </c>
      <c r="G373" s="126" t="s">
        <v>947</v>
      </c>
      <c r="H373" s="126">
        <v>79</v>
      </c>
      <c r="L373" s="126" t="s">
        <v>1396</v>
      </c>
      <c r="M373" s="127" t="s">
        <v>1334</v>
      </c>
      <c r="N373" s="126">
        <v>76</v>
      </c>
      <c r="O373" s="126">
        <v>16</v>
      </c>
    </row>
    <row r="374" spans="1:15">
      <c r="A374" s="126" t="s">
        <v>579</v>
      </c>
      <c r="B374" s="126">
        <v>27</v>
      </c>
      <c r="G374" s="126" t="s">
        <v>948</v>
      </c>
      <c r="H374" s="126">
        <v>75</v>
      </c>
      <c r="L374" s="126" t="s">
        <v>1397</v>
      </c>
      <c r="M374" s="127" t="s">
        <v>1334</v>
      </c>
      <c r="N374" s="126">
        <v>75</v>
      </c>
      <c r="O374" s="126">
        <v>15</v>
      </c>
    </row>
    <row r="375" spans="1:15">
      <c r="A375" s="126" t="s">
        <v>579</v>
      </c>
      <c r="B375" s="126">
        <v>27</v>
      </c>
      <c r="G375" s="126" t="s">
        <v>949</v>
      </c>
      <c r="H375" s="126">
        <v>72</v>
      </c>
      <c r="L375" s="126" t="s">
        <v>1398</v>
      </c>
      <c r="M375" s="127" t="s">
        <v>1334</v>
      </c>
      <c r="N375" s="126">
        <v>74</v>
      </c>
      <c r="O375" s="126">
        <v>14</v>
      </c>
    </row>
    <row r="376" spans="1:15">
      <c r="A376" s="126" t="s">
        <v>580</v>
      </c>
      <c r="B376" s="126">
        <v>22</v>
      </c>
      <c r="G376" s="126" t="s">
        <v>950</v>
      </c>
      <c r="H376" s="126">
        <v>68</v>
      </c>
      <c r="L376" s="126" t="s">
        <v>1398</v>
      </c>
      <c r="M376" s="127" t="s">
        <v>1334</v>
      </c>
      <c r="N376" s="126">
        <v>74</v>
      </c>
      <c r="O376" s="126">
        <v>14</v>
      </c>
    </row>
    <row r="377" spans="1:15">
      <c r="A377" s="126" t="s">
        <v>581</v>
      </c>
      <c r="B377" s="126">
        <v>19</v>
      </c>
      <c r="G377" s="126" t="s">
        <v>950</v>
      </c>
      <c r="H377" s="126">
        <v>68</v>
      </c>
      <c r="L377" s="126" t="s">
        <v>1399</v>
      </c>
      <c r="M377" s="127" t="s">
        <v>1334</v>
      </c>
      <c r="N377" s="126">
        <v>73</v>
      </c>
      <c r="O377" s="126">
        <v>12</v>
      </c>
    </row>
    <row r="378" spans="1:15">
      <c r="A378" s="126" t="s">
        <v>582</v>
      </c>
      <c r="B378" s="126">
        <v>17</v>
      </c>
      <c r="G378" s="126" t="s">
        <v>951</v>
      </c>
      <c r="H378" s="126">
        <v>63</v>
      </c>
      <c r="L378" s="126" t="s">
        <v>1400</v>
      </c>
      <c r="M378" s="127" t="s">
        <v>1334</v>
      </c>
      <c r="N378" s="126">
        <v>72</v>
      </c>
      <c r="O378" s="126">
        <v>11</v>
      </c>
    </row>
    <row r="379" spans="1:15">
      <c r="A379" s="126" t="s">
        <v>583</v>
      </c>
      <c r="B379" s="126">
        <v>14</v>
      </c>
      <c r="G379" s="126" t="s">
        <v>952</v>
      </c>
      <c r="H379" s="126">
        <v>61</v>
      </c>
      <c r="L379" s="126" t="s">
        <v>1401</v>
      </c>
      <c r="M379" s="127" t="s">
        <v>1334</v>
      </c>
      <c r="N379" s="126">
        <v>71</v>
      </c>
      <c r="O379" s="126">
        <v>9</v>
      </c>
    </row>
    <row r="380" spans="1:15">
      <c r="A380" s="126" t="s">
        <v>584</v>
      </c>
      <c r="B380" s="126">
        <v>10</v>
      </c>
      <c r="G380" s="126" t="s">
        <v>953</v>
      </c>
      <c r="H380" s="126">
        <v>58</v>
      </c>
      <c r="L380" s="126" t="s">
        <v>1402</v>
      </c>
      <c r="M380" s="127" t="s">
        <v>1334</v>
      </c>
      <c r="N380" s="126">
        <v>70</v>
      </c>
      <c r="O380" s="126">
        <v>8</v>
      </c>
    </row>
    <row r="381" spans="1:15">
      <c r="A381" s="126" t="s">
        <v>584</v>
      </c>
      <c r="B381" s="126">
        <v>10</v>
      </c>
      <c r="G381" s="126" t="s">
        <v>954</v>
      </c>
      <c r="H381" s="126">
        <v>56</v>
      </c>
      <c r="L381" s="126" t="s">
        <v>1402</v>
      </c>
      <c r="M381" s="127" t="s">
        <v>1334</v>
      </c>
      <c r="N381" s="126">
        <v>70</v>
      </c>
      <c r="O381" s="126">
        <v>8</v>
      </c>
    </row>
    <row r="382" spans="1:15">
      <c r="A382" s="126" t="s">
        <v>585</v>
      </c>
      <c r="B382" s="126">
        <v>7</v>
      </c>
      <c r="G382" s="126" t="s">
        <v>955</v>
      </c>
      <c r="H382" s="126">
        <v>54</v>
      </c>
      <c r="L382" s="126" t="s">
        <v>1403</v>
      </c>
      <c r="M382" s="127" t="s">
        <v>1334</v>
      </c>
      <c r="N382" s="126">
        <v>69</v>
      </c>
      <c r="O382" s="126">
        <v>6</v>
      </c>
    </row>
    <row r="383" spans="1:15">
      <c r="A383" s="126" t="s">
        <v>586</v>
      </c>
      <c r="B383" s="126">
        <v>5</v>
      </c>
      <c r="G383" s="126" t="s">
        <v>956</v>
      </c>
      <c r="H383" s="126">
        <v>51</v>
      </c>
      <c r="L383" s="126" t="s">
        <v>1404</v>
      </c>
      <c r="M383" s="127" t="s">
        <v>1334</v>
      </c>
      <c r="N383" s="126">
        <v>68</v>
      </c>
      <c r="O383" s="126">
        <v>5</v>
      </c>
    </row>
    <row r="384" spans="1:15">
      <c r="A384" s="126" t="s">
        <v>587</v>
      </c>
      <c r="B384" s="126">
        <v>4</v>
      </c>
      <c r="G384" s="126" t="s">
        <v>956</v>
      </c>
      <c r="H384" s="126">
        <v>51</v>
      </c>
      <c r="L384" s="126" t="s">
        <v>1405</v>
      </c>
      <c r="M384" s="127" t="s">
        <v>1334</v>
      </c>
      <c r="N384" s="126">
        <v>67</v>
      </c>
      <c r="O384" s="126">
        <v>4</v>
      </c>
    </row>
    <row r="385" spans="1:15">
      <c r="A385" s="126" t="s">
        <v>588</v>
      </c>
      <c r="B385" s="126">
        <v>3</v>
      </c>
      <c r="G385" s="126" t="s">
        <v>957</v>
      </c>
      <c r="H385" s="126">
        <v>48</v>
      </c>
      <c r="L385" s="126" t="s">
        <v>1406</v>
      </c>
      <c r="M385" s="127" t="s">
        <v>1334</v>
      </c>
      <c r="N385" s="126">
        <v>66</v>
      </c>
      <c r="O385" s="126">
        <v>3</v>
      </c>
    </row>
    <row r="386" spans="1:15">
      <c r="A386" s="126" t="s">
        <v>589</v>
      </c>
      <c r="B386" s="126">
        <v>2</v>
      </c>
      <c r="G386" s="126" t="s">
        <v>958</v>
      </c>
      <c r="H386" s="126">
        <v>46</v>
      </c>
      <c r="L386" s="126" t="s">
        <v>1407</v>
      </c>
      <c r="M386" s="127" t="s">
        <v>1334</v>
      </c>
      <c r="N386" s="126">
        <v>65</v>
      </c>
      <c r="O386" s="126">
        <v>2</v>
      </c>
    </row>
    <row r="387" spans="1:15">
      <c r="A387" s="126" t="s">
        <v>589</v>
      </c>
      <c r="B387" s="126">
        <v>2</v>
      </c>
      <c r="G387" s="126" t="s">
        <v>959</v>
      </c>
      <c r="H387" s="126">
        <v>45</v>
      </c>
      <c r="L387" s="126" t="s">
        <v>1407</v>
      </c>
      <c r="M387" s="127" t="s">
        <v>1334</v>
      </c>
      <c r="N387" s="126">
        <v>65</v>
      </c>
      <c r="O387" s="126">
        <v>2</v>
      </c>
    </row>
    <row r="388" spans="1:15">
      <c r="A388" s="126" t="s">
        <v>590</v>
      </c>
      <c r="B388" s="126">
        <v>1</v>
      </c>
      <c r="G388" s="126" t="s">
        <v>960</v>
      </c>
      <c r="H388" s="126">
        <v>43</v>
      </c>
      <c r="L388" s="126" t="s">
        <v>1408</v>
      </c>
      <c r="M388" s="127" t="s">
        <v>1334</v>
      </c>
      <c r="N388" s="126">
        <v>64</v>
      </c>
      <c r="O388" s="126">
        <v>1</v>
      </c>
    </row>
    <row r="389" spans="1:15">
      <c r="A389" s="126" t="s">
        <v>591</v>
      </c>
      <c r="B389" s="126">
        <v>0</v>
      </c>
      <c r="G389" s="126" t="s">
        <v>961</v>
      </c>
      <c r="H389" s="126">
        <v>40</v>
      </c>
      <c r="L389" s="126" t="s">
        <v>1409</v>
      </c>
      <c r="M389" s="127" t="s">
        <v>1334</v>
      </c>
      <c r="N389" s="126">
        <v>63</v>
      </c>
      <c r="O389" s="126">
        <v>1</v>
      </c>
    </row>
    <row r="390" spans="1:15">
      <c r="A390" s="126" t="s">
        <v>592</v>
      </c>
      <c r="B390" s="126">
        <v>0</v>
      </c>
      <c r="G390" s="126" t="s">
        <v>961</v>
      </c>
      <c r="H390" s="126">
        <v>40</v>
      </c>
      <c r="L390" s="126" t="s">
        <v>1410</v>
      </c>
      <c r="M390" s="127" t="s">
        <v>1334</v>
      </c>
      <c r="N390" s="126">
        <v>62</v>
      </c>
      <c r="O390" s="126">
        <v>1</v>
      </c>
    </row>
    <row r="391" spans="1:15">
      <c r="A391" s="126" t="s">
        <v>593</v>
      </c>
      <c r="B391" s="126">
        <v>0</v>
      </c>
      <c r="G391" s="126" t="s">
        <v>962</v>
      </c>
      <c r="H391" s="126">
        <v>37</v>
      </c>
      <c r="L391" s="126" t="s">
        <v>1411</v>
      </c>
      <c r="M391" s="127" t="s">
        <v>1334</v>
      </c>
      <c r="N391" s="126">
        <v>61</v>
      </c>
      <c r="O391" s="126">
        <v>0</v>
      </c>
    </row>
    <row r="392" spans="1:15">
      <c r="A392" s="126" t="s">
        <v>594</v>
      </c>
      <c r="B392" s="126">
        <v>0</v>
      </c>
      <c r="G392" s="126" t="s">
        <v>963</v>
      </c>
      <c r="H392" s="126">
        <v>34</v>
      </c>
      <c r="L392" s="126" t="s">
        <v>1411</v>
      </c>
      <c r="M392" s="127" t="s">
        <v>1334</v>
      </c>
      <c r="N392" s="126">
        <v>61</v>
      </c>
      <c r="O392" s="126">
        <v>0</v>
      </c>
    </row>
    <row r="393" spans="1:15">
      <c r="A393" s="126" t="s">
        <v>595</v>
      </c>
      <c r="B393" s="126">
        <v>100</v>
      </c>
      <c r="G393" s="126" t="s">
        <v>964</v>
      </c>
      <c r="H393" s="126">
        <v>32</v>
      </c>
      <c r="L393" s="126" t="s">
        <v>1412</v>
      </c>
      <c r="M393" s="127" t="s">
        <v>1334</v>
      </c>
      <c r="N393" s="126">
        <v>60</v>
      </c>
      <c r="O393" s="126">
        <v>0</v>
      </c>
    </row>
    <row r="394" spans="1:15">
      <c r="A394" s="126" t="s">
        <v>596</v>
      </c>
      <c r="B394" s="126">
        <v>99</v>
      </c>
      <c r="G394" s="126" t="s">
        <v>965</v>
      </c>
      <c r="H394" s="126">
        <v>30</v>
      </c>
      <c r="L394" s="126" t="s">
        <v>1413</v>
      </c>
      <c r="M394" s="127" t="s">
        <v>1334</v>
      </c>
      <c r="N394" s="126">
        <v>59</v>
      </c>
      <c r="O394" s="126">
        <v>0</v>
      </c>
    </row>
    <row r="395" spans="1:15">
      <c r="A395" s="126" t="s">
        <v>597</v>
      </c>
      <c r="B395" s="126">
        <v>98</v>
      </c>
      <c r="G395" s="126" t="s">
        <v>966</v>
      </c>
      <c r="H395" s="126">
        <v>25</v>
      </c>
      <c r="L395" s="126" t="s">
        <v>1414</v>
      </c>
      <c r="M395" s="127" t="s">
        <v>1334</v>
      </c>
      <c r="N395" s="126">
        <v>58</v>
      </c>
      <c r="O395" s="126">
        <v>0</v>
      </c>
    </row>
    <row r="396" spans="1:15">
      <c r="A396" s="126" t="s">
        <v>598</v>
      </c>
      <c r="B396" s="126">
        <v>96</v>
      </c>
      <c r="G396" s="126" t="s">
        <v>966</v>
      </c>
      <c r="H396" s="126">
        <v>25</v>
      </c>
      <c r="L396" s="126" t="s">
        <v>1415</v>
      </c>
      <c r="M396" s="127" t="s">
        <v>1334</v>
      </c>
      <c r="N396" s="126">
        <v>56</v>
      </c>
      <c r="O396" s="126">
        <v>0</v>
      </c>
    </row>
    <row r="397" spans="1:15">
      <c r="A397" s="126" t="s">
        <v>599</v>
      </c>
      <c r="B397" s="126">
        <v>94</v>
      </c>
      <c r="G397" s="126" t="s">
        <v>967</v>
      </c>
      <c r="H397" s="126">
        <v>21</v>
      </c>
      <c r="L397" s="126" t="s">
        <v>1416</v>
      </c>
      <c r="M397" s="127" t="s">
        <v>1417</v>
      </c>
      <c r="N397" s="126">
        <v>136</v>
      </c>
      <c r="O397" s="126">
        <v>100</v>
      </c>
    </row>
    <row r="398" spans="1:15">
      <c r="A398" s="126" t="s">
        <v>599</v>
      </c>
      <c r="B398" s="126">
        <v>94</v>
      </c>
      <c r="G398" s="126" t="s">
        <v>968</v>
      </c>
      <c r="H398" s="126">
        <v>18</v>
      </c>
      <c r="L398" s="126" t="s">
        <v>1418</v>
      </c>
      <c r="M398" s="127" t="s">
        <v>1417</v>
      </c>
      <c r="N398" s="126">
        <v>134</v>
      </c>
      <c r="O398" s="126">
        <v>100</v>
      </c>
    </row>
    <row r="399" spans="1:15">
      <c r="A399" s="126" t="s">
        <v>600</v>
      </c>
      <c r="B399" s="126">
        <v>90</v>
      </c>
      <c r="G399" s="126" t="s">
        <v>969</v>
      </c>
      <c r="H399" s="126">
        <v>15</v>
      </c>
      <c r="L399" s="126" t="s">
        <v>1419</v>
      </c>
      <c r="M399" s="127" t="s">
        <v>1417</v>
      </c>
      <c r="N399" s="126">
        <v>133</v>
      </c>
      <c r="O399" s="126">
        <v>99</v>
      </c>
    </row>
    <row r="400" spans="1:15">
      <c r="A400" s="126" t="s">
        <v>601</v>
      </c>
      <c r="B400" s="126">
        <v>87</v>
      </c>
      <c r="G400" s="126" t="s">
        <v>970</v>
      </c>
      <c r="H400" s="126">
        <v>12</v>
      </c>
      <c r="L400" s="126" t="s">
        <v>1420</v>
      </c>
      <c r="M400" s="127" t="s">
        <v>1417</v>
      </c>
      <c r="N400" s="126">
        <v>132</v>
      </c>
      <c r="O400" s="126">
        <v>98</v>
      </c>
    </row>
    <row r="401" spans="1:15">
      <c r="A401" s="126" t="s">
        <v>602</v>
      </c>
      <c r="B401" s="126">
        <v>84</v>
      </c>
      <c r="G401" s="126" t="s">
        <v>970</v>
      </c>
      <c r="H401" s="126">
        <v>12</v>
      </c>
      <c r="L401" s="126" t="s">
        <v>1421</v>
      </c>
      <c r="M401" s="127" t="s">
        <v>1417</v>
      </c>
      <c r="N401" s="126">
        <v>131</v>
      </c>
      <c r="O401" s="126">
        <v>98</v>
      </c>
    </row>
    <row r="402" spans="1:15">
      <c r="A402" s="126" t="s">
        <v>603</v>
      </c>
      <c r="B402" s="126">
        <v>81</v>
      </c>
      <c r="G402" s="126" t="s">
        <v>971</v>
      </c>
      <c r="H402" s="126">
        <v>9</v>
      </c>
      <c r="L402" s="126" t="s">
        <v>1422</v>
      </c>
      <c r="M402" s="127" t="s">
        <v>1417</v>
      </c>
      <c r="N402" s="126">
        <v>130</v>
      </c>
      <c r="O402" s="126">
        <v>97</v>
      </c>
    </row>
    <row r="403" spans="1:15">
      <c r="A403" s="126" t="s">
        <v>604</v>
      </c>
      <c r="B403" s="126">
        <v>78</v>
      </c>
      <c r="G403" s="126" t="s">
        <v>972</v>
      </c>
      <c r="H403" s="126">
        <v>6</v>
      </c>
      <c r="L403" s="126" t="s">
        <v>1423</v>
      </c>
      <c r="M403" s="127" t="s">
        <v>1417</v>
      </c>
      <c r="N403" s="126">
        <v>129</v>
      </c>
      <c r="O403" s="126">
        <v>96</v>
      </c>
    </row>
    <row r="404" spans="1:15">
      <c r="A404" s="126" t="s">
        <v>605</v>
      </c>
      <c r="B404" s="126">
        <v>75</v>
      </c>
      <c r="G404" s="126" t="s">
        <v>973</v>
      </c>
      <c r="H404" s="126">
        <v>3</v>
      </c>
      <c r="L404" s="126" t="s">
        <v>1424</v>
      </c>
      <c r="M404" s="127" t="s">
        <v>1417</v>
      </c>
      <c r="N404" s="126">
        <v>128</v>
      </c>
      <c r="O404" s="126">
        <v>95</v>
      </c>
    </row>
    <row r="405" spans="1:15">
      <c r="A405" s="126" t="s">
        <v>606</v>
      </c>
      <c r="B405" s="126">
        <v>71</v>
      </c>
      <c r="G405" s="126" t="s">
        <v>974</v>
      </c>
      <c r="H405" s="126">
        <v>2</v>
      </c>
      <c r="L405" s="126" t="s">
        <v>1425</v>
      </c>
      <c r="M405" s="127" t="s">
        <v>1417</v>
      </c>
      <c r="N405" s="126">
        <v>127</v>
      </c>
      <c r="O405" s="126">
        <v>94</v>
      </c>
    </row>
    <row r="406" spans="1:15">
      <c r="A406" s="126" t="s">
        <v>607</v>
      </c>
      <c r="B406" s="126">
        <v>68</v>
      </c>
      <c r="G406" s="126" t="s">
        <v>975</v>
      </c>
      <c r="H406" s="126">
        <v>1</v>
      </c>
      <c r="L406" s="126" t="s">
        <v>1426</v>
      </c>
      <c r="M406" s="127" t="s">
        <v>1417</v>
      </c>
      <c r="N406" s="126">
        <v>126</v>
      </c>
      <c r="O406" s="126">
        <v>93</v>
      </c>
    </row>
    <row r="407" spans="1:15">
      <c r="A407" s="126" t="s">
        <v>608</v>
      </c>
      <c r="B407" s="126">
        <v>65</v>
      </c>
      <c r="G407" s="126" t="s">
        <v>975</v>
      </c>
      <c r="H407" s="126">
        <v>1</v>
      </c>
      <c r="L407" s="126" t="s">
        <v>1427</v>
      </c>
      <c r="M407" s="127" t="s">
        <v>1417</v>
      </c>
      <c r="N407" s="126">
        <v>125</v>
      </c>
      <c r="O407" s="126">
        <v>91</v>
      </c>
    </row>
    <row r="408" spans="1:15">
      <c r="A408" s="126" t="s">
        <v>609</v>
      </c>
      <c r="B408" s="126">
        <v>60</v>
      </c>
      <c r="G408" s="126" t="s">
        <v>976</v>
      </c>
      <c r="H408" s="126">
        <v>1</v>
      </c>
      <c r="L408" s="126" t="s">
        <v>1428</v>
      </c>
      <c r="M408" s="127" t="s">
        <v>1417</v>
      </c>
      <c r="N408" s="126">
        <v>124</v>
      </c>
      <c r="O408" s="126">
        <v>90</v>
      </c>
    </row>
    <row r="409" spans="1:15">
      <c r="A409" s="126" t="s">
        <v>609</v>
      </c>
      <c r="B409" s="126">
        <v>60</v>
      </c>
      <c r="G409" s="126" t="s">
        <v>977</v>
      </c>
      <c r="H409" s="126">
        <v>0</v>
      </c>
      <c r="L409" s="126" t="s">
        <v>1429</v>
      </c>
      <c r="M409" s="127" t="s">
        <v>1417</v>
      </c>
      <c r="N409" s="126">
        <v>123</v>
      </c>
      <c r="O409" s="126">
        <v>88</v>
      </c>
    </row>
    <row r="410" spans="1:15">
      <c r="A410" s="126" t="s">
        <v>610</v>
      </c>
      <c r="B410" s="126">
        <v>55</v>
      </c>
      <c r="G410" s="126" t="s">
        <v>978</v>
      </c>
      <c r="H410" s="126">
        <v>0</v>
      </c>
      <c r="L410" s="126" t="s">
        <v>1430</v>
      </c>
      <c r="M410" s="127" t="s">
        <v>1417</v>
      </c>
      <c r="N410" s="126">
        <v>122</v>
      </c>
      <c r="O410" s="126">
        <v>86</v>
      </c>
    </row>
    <row r="411" spans="1:15">
      <c r="A411" s="126" t="s">
        <v>611</v>
      </c>
      <c r="B411" s="126">
        <v>53</v>
      </c>
      <c r="G411" s="126" t="s">
        <v>978</v>
      </c>
      <c r="H411" s="126">
        <v>0</v>
      </c>
      <c r="L411" s="126" t="s">
        <v>1431</v>
      </c>
      <c r="M411" s="127" t="s">
        <v>1417</v>
      </c>
      <c r="N411" s="126">
        <v>121</v>
      </c>
      <c r="O411" s="126">
        <v>84</v>
      </c>
    </row>
    <row r="412" spans="1:15">
      <c r="A412" s="126" t="s">
        <v>612</v>
      </c>
      <c r="B412" s="126">
        <v>50</v>
      </c>
      <c r="G412" s="126" t="s">
        <v>979</v>
      </c>
      <c r="H412" s="126">
        <v>0</v>
      </c>
      <c r="L412" s="126" t="s">
        <v>1432</v>
      </c>
      <c r="M412" s="127" t="s">
        <v>1417</v>
      </c>
      <c r="N412" s="126">
        <v>120</v>
      </c>
      <c r="O412" s="126">
        <v>83</v>
      </c>
    </row>
    <row r="413" spans="1:15">
      <c r="A413" s="126" t="s">
        <v>613</v>
      </c>
      <c r="B413" s="126">
        <v>47</v>
      </c>
      <c r="G413" s="126" t="s">
        <v>979</v>
      </c>
      <c r="H413" s="126">
        <v>0</v>
      </c>
      <c r="L413" s="126" t="s">
        <v>1433</v>
      </c>
      <c r="M413" s="127" t="s">
        <v>1417</v>
      </c>
      <c r="N413" s="126">
        <v>119</v>
      </c>
      <c r="O413" s="126">
        <v>81</v>
      </c>
    </row>
    <row r="414" spans="1:15">
      <c r="A414" s="126" t="s">
        <v>614</v>
      </c>
      <c r="B414" s="126">
        <v>44</v>
      </c>
      <c r="G414" s="126" t="s">
        <v>980</v>
      </c>
      <c r="H414" s="126">
        <v>99</v>
      </c>
      <c r="L414" s="126" t="s">
        <v>1434</v>
      </c>
      <c r="M414" s="127" t="s">
        <v>1417</v>
      </c>
      <c r="N414" s="126">
        <v>118</v>
      </c>
      <c r="O414" s="126">
        <v>79</v>
      </c>
    </row>
    <row r="415" spans="1:15">
      <c r="A415" s="126" t="s">
        <v>615</v>
      </c>
      <c r="B415" s="126">
        <v>42</v>
      </c>
      <c r="G415" s="126" t="s">
        <v>981</v>
      </c>
      <c r="H415" s="126">
        <v>97</v>
      </c>
      <c r="L415" s="126" t="s">
        <v>1435</v>
      </c>
      <c r="M415" s="127" t="s">
        <v>1417</v>
      </c>
      <c r="N415" s="126">
        <v>117</v>
      </c>
      <c r="O415" s="126">
        <v>77</v>
      </c>
    </row>
    <row r="416" spans="1:15">
      <c r="A416" s="126" t="s">
        <v>616</v>
      </c>
      <c r="B416" s="126">
        <v>39</v>
      </c>
      <c r="G416" s="126" t="s">
        <v>982</v>
      </c>
      <c r="H416" s="126">
        <v>95</v>
      </c>
      <c r="L416" s="126" t="s">
        <v>1436</v>
      </c>
      <c r="M416" s="127" t="s">
        <v>1417</v>
      </c>
      <c r="N416" s="126">
        <v>116</v>
      </c>
      <c r="O416" s="126">
        <v>75</v>
      </c>
    </row>
    <row r="417" spans="1:15">
      <c r="A417" s="126" t="s">
        <v>617</v>
      </c>
      <c r="B417" s="126">
        <v>36</v>
      </c>
      <c r="G417" s="126" t="s">
        <v>983</v>
      </c>
      <c r="H417" s="126">
        <v>92</v>
      </c>
      <c r="L417" s="126" t="s">
        <v>1437</v>
      </c>
      <c r="M417" s="127" t="s">
        <v>1417</v>
      </c>
      <c r="N417" s="126">
        <v>115</v>
      </c>
      <c r="O417" s="126">
        <v>73</v>
      </c>
    </row>
    <row r="418" spans="1:15">
      <c r="A418" s="126" t="s">
        <v>618</v>
      </c>
      <c r="B418" s="126">
        <v>33</v>
      </c>
      <c r="G418" s="126" t="s">
        <v>983</v>
      </c>
      <c r="H418" s="126">
        <v>92</v>
      </c>
      <c r="L418" s="126" t="s">
        <v>1438</v>
      </c>
      <c r="M418" s="127" t="s">
        <v>1417</v>
      </c>
      <c r="N418" s="126">
        <v>114</v>
      </c>
      <c r="O418" s="126">
        <v>71</v>
      </c>
    </row>
    <row r="419" spans="1:15">
      <c r="A419" s="126" t="s">
        <v>618</v>
      </c>
      <c r="B419" s="126">
        <v>33</v>
      </c>
      <c r="G419" s="126" t="s">
        <v>984</v>
      </c>
      <c r="H419" s="126">
        <v>90</v>
      </c>
      <c r="L419" s="126" t="s">
        <v>1439</v>
      </c>
      <c r="M419" s="127" t="s">
        <v>1417</v>
      </c>
      <c r="N419" s="126">
        <v>113</v>
      </c>
      <c r="O419" s="126">
        <v>69</v>
      </c>
    </row>
    <row r="420" spans="1:15">
      <c r="A420" s="126" t="s">
        <v>619</v>
      </c>
      <c r="B420" s="126">
        <v>29</v>
      </c>
      <c r="G420" s="126" t="s">
        <v>985</v>
      </c>
      <c r="H420" s="126">
        <v>88</v>
      </c>
      <c r="L420" s="126" t="s">
        <v>1440</v>
      </c>
      <c r="M420" s="127" t="s">
        <v>1417</v>
      </c>
      <c r="N420" s="126">
        <v>112</v>
      </c>
      <c r="O420" s="126">
        <v>67</v>
      </c>
    </row>
    <row r="421" spans="1:15">
      <c r="A421" s="126" t="s">
        <v>620</v>
      </c>
      <c r="B421" s="126">
        <v>27</v>
      </c>
      <c r="G421" s="126" t="s">
        <v>986</v>
      </c>
      <c r="H421" s="126">
        <v>87</v>
      </c>
      <c r="L421" s="126" t="s">
        <v>1441</v>
      </c>
      <c r="M421" s="127" t="s">
        <v>1417</v>
      </c>
      <c r="N421" s="126">
        <v>111</v>
      </c>
      <c r="O421" s="126">
        <v>65</v>
      </c>
    </row>
    <row r="422" spans="1:15">
      <c r="A422" s="126" t="s">
        <v>621</v>
      </c>
      <c r="B422" s="126">
        <v>24</v>
      </c>
      <c r="G422" s="126" t="s">
        <v>987</v>
      </c>
      <c r="H422" s="126">
        <v>85</v>
      </c>
      <c r="L422" s="126" t="s">
        <v>1442</v>
      </c>
      <c r="M422" s="127" t="s">
        <v>1417</v>
      </c>
      <c r="N422" s="126">
        <v>110</v>
      </c>
      <c r="O422" s="126">
        <v>63</v>
      </c>
    </row>
    <row r="423" spans="1:15">
      <c r="A423" s="126" t="s">
        <v>622</v>
      </c>
      <c r="B423" s="126">
        <v>22</v>
      </c>
      <c r="G423" s="126" t="s">
        <v>987</v>
      </c>
      <c r="H423" s="126">
        <v>85</v>
      </c>
      <c r="L423" s="126" t="s">
        <v>1443</v>
      </c>
      <c r="M423" s="127" t="s">
        <v>1417</v>
      </c>
      <c r="N423" s="126">
        <v>109</v>
      </c>
      <c r="O423" s="126">
        <v>61</v>
      </c>
    </row>
    <row r="424" spans="1:15">
      <c r="A424" s="126" t="s">
        <v>623</v>
      </c>
      <c r="B424" s="126">
        <v>20</v>
      </c>
      <c r="G424" s="126" t="s">
        <v>988</v>
      </c>
      <c r="H424" s="126">
        <v>83</v>
      </c>
      <c r="L424" s="126" t="s">
        <v>1444</v>
      </c>
      <c r="M424" s="127" t="s">
        <v>1417</v>
      </c>
      <c r="N424" s="126">
        <v>108</v>
      </c>
      <c r="O424" s="126">
        <v>59</v>
      </c>
    </row>
    <row r="425" spans="1:15">
      <c r="A425" s="126" t="s">
        <v>624</v>
      </c>
      <c r="B425" s="126">
        <v>17</v>
      </c>
      <c r="G425" s="126" t="s">
        <v>989</v>
      </c>
      <c r="H425" s="126">
        <v>82</v>
      </c>
      <c r="L425" s="126" t="s">
        <v>1445</v>
      </c>
      <c r="M425" s="127" t="s">
        <v>1417</v>
      </c>
      <c r="N425" s="126">
        <v>107</v>
      </c>
      <c r="O425" s="126">
        <v>57</v>
      </c>
    </row>
    <row r="426" spans="1:15">
      <c r="A426" s="126" t="s">
        <v>625</v>
      </c>
      <c r="B426" s="126">
        <v>15</v>
      </c>
      <c r="G426" s="126" t="s">
        <v>990</v>
      </c>
      <c r="H426" s="126">
        <v>81</v>
      </c>
      <c r="L426" s="126" t="s">
        <v>1446</v>
      </c>
      <c r="M426" s="127" t="s">
        <v>1417</v>
      </c>
      <c r="N426" s="126">
        <v>106</v>
      </c>
      <c r="O426" s="126">
        <v>55</v>
      </c>
    </row>
    <row r="427" spans="1:15">
      <c r="A427" s="126" t="s">
        <v>626</v>
      </c>
      <c r="B427" s="126">
        <v>13</v>
      </c>
      <c r="G427" s="126" t="s">
        <v>991</v>
      </c>
      <c r="H427" s="126">
        <v>79</v>
      </c>
      <c r="L427" s="126" t="s">
        <v>1447</v>
      </c>
      <c r="M427" s="127" t="s">
        <v>1417</v>
      </c>
      <c r="N427" s="126">
        <v>105</v>
      </c>
      <c r="O427" s="126">
        <v>53</v>
      </c>
    </row>
    <row r="428" spans="1:15">
      <c r="A428" s="126" t="s">
        <v>627</v>
      </c>
      <c r="B428" s="126">
        <v>10</v>
      </c>
      <c r="G428" s="126" t="s">
        <v>991</v>
      </c>
      <c r="H428" s="126">
        <v>79</v>
      </c>
      <c r="L428" s="126" t="s">
        <v>1448</v>
      </c>
      <c r="M428" s="127" t="s">
        <v>1417</v>
      </c>
      <c r="N428" s="126">
        <v>104</v>
      </c>
      <c r="O428" s="126">
        <v>51</v>
      </c>
    </row>
    <row r="429" spans="1:15">
      <c r="A429" s="126" t="s">
        <v>627</v>
      </c>
      <c r="B429" s="126">
        <v>10</v>
      </c>
      <c r="G429" s="126" t="s">
        <v>992</v>
      </c>
      <c r="H429" s="126">
        <v>78</v>
      </c>
      <c r="L429" s="126" t="s">
        <v>1449</v>
      </c>
      <c r="M429" s="127" t="s">
        <v>1417</v>
      </c>
      <c r="N429" s="126">
        <v>102</v>
      </c>
      <c r="O429" s="126">
        <v>49</v>
      </c>
    </row>
    <row r="430" spans="1:15">
      <c r="A430" s="126" t="s">
        <v>628</v>
      </c>
      <c r="B430" s="126">
        <v>8</v>
      </c>
      <c r="G430" s="126" t="s">
        <v>993</v>
      </c>
      <c r="H430" s="126">
        <v>76</v>
      </c>
      <c r="L430" s="126" t="s">
        <v>1450</v>
      </c>
      <c r="M430" s="127" t="s">
        <v>1417</v>
      </c>
      <c r="N430" s="126">
        <v>101</v>
      </c>
      <c r="O430" s="126">
        <v>48</v>
      </c>
    </row>
    <row r="431" spans="1:15">
      <c r="A431" s="126" t="s">
        <v>629</v>
      </c>
      <c r="B431" s="126">
        <v>6</v>
      </c>
      <c r="G431" s="126" t="s">
        <v>994</v>
      </c>
      <c r="H431" s="126">
        <v>75</v>
      </c>
      <c r="L431" s="126" t="s">
        <v>1451</v>
      </c>
      <c r="M431" s="127" t="s">
        <v>1417</v>
      </c>
      <c r="N431" s="126">
        <v>100</v>
      </c>
      <c r="O431" s="126">
        <v>46</v>
      </c>
    </row>
    <row r="432" spans="1:15">
      <c r="A432" s="126" t="s">
        <v>630</v>
      </c>
      <c r="B432" s="126">
        <v>5</v>
      </c>
      <c r="G432" s="126" t="s">
        <v>995</v>
      </c>
      <c r="H432" s="126">
        <v>73</v>
      </c>
      <c r="L432" s="126" t="s">
        <v>1452</v>
      </c>
      <c r="M432" s="127" t="s">
        <v>1417</v>
      </c>
      <c r="N432" s="126">
        <v>99</v>
      </c>
      <c r="O432" s="126">
        <v>44</v>
      </c>
    </row>
    <row r="433" spans="1:15">
      <c r="A433" s="126" t="s">
        <v>631</v>
      </c>
      <c r="B433" s="126">
        <v>4</v>
      </c>
      <c r="G433" s="126" t="s">
        <v>995</v>
      </c>
      <c r="H433" s="126">
        <v>73</v>
      </c>
      <c r="L433" s="126" t="s">
        <v>1453</v>
      </c>
      <c r="M433" s="127" t="s">
        <v>1417</v>
      </c>
      <c r="N433" s="126">
        <v>98</v>
      </c>
      <c r="O433" s="126">
        <v>42</v>
      </c>
    </row>
    <row r="434" spans="1:15">
      <c r="A434" s="126" t="s">
        <v>632</v>
      </c>
      <c r="B434" s="126">
        <v>3</v>
      </c>
      <c r="G434" s="126" t="s">
        <v>996</v>
      </c>
      <c r="H434" s="126">
        <v>71</v>
      </c>
      <c r="L434" s="126" t="s">
        <v>1454</v>
      </c>
      <c r="M434" s="127" t="s">
        <v>1417</v>
      </c>
      <c r="N434" s="126">
        <v>97</v>
      </c>
      <c r="O434" s="126">
        <v>41</v>
      </c>
    </row>
    <row r="435" spans="1:15">
      <c r="A435" s="126" t="s">
        <v>633</v>
      </c>
      <c r="B435" s="126">
        <v>2</v>
      </c>
      <c r="G435" s="126" t="s">
        <v>997</v>
      </c>
      <c r="H435" s="126">
        <v>70</v>
      </c>
      <c r="L435" s="126" t="s">
        <v>1455</v>
      </c>
      <c r="M435" s="127" t="s">
        <v>1417</v>
      </c>
      <c r="N435" s="126">
        <v>96</v>
      </c>
      <c r="O435" s="126">
        <v>39</v>
      </c>
    </row>
    <row r="436" spans="1:15">
      <c r="A436" s="126" t="s">
        <v>634</v>
      </c>
      <c r="B436" s="126">
        <v>1</v>
      </c>
      <c r="G436" s="126" t="s">
        <v>998</v>
      </c>
      <c r="H436" s="126">
        <v>68</v>
      </c>
      <c r="L436" s="126" t="s">
        <v>1456</v>
      </c>
      <c r="M436" s="127" t="s">
        <v>1417</v>
      </c>
      <c r="N436" s="126">
        <v>95</v>
      </c>
      <c r="O436" s="126">
        <v>37</v>
      </c>
    </row>
    <row r="437" spans="1:15">
      <c r="A437" s="126" t="s">
        <v>635</v>
      </c>
      <c r="B437" s="126">
        <v>1</v>
      </c>
      <c r="G437" s="126" t="s">
        <v>999</v>
      </c>
      <c r="H437" s="126">
        <v>65</v>
      </c>
      <c r="L437" s="126" t="s">
        <v>1457</v>
      </c>
      <c r="M437" s="127" t="s">
        <v>1417</v>
      </c>
      <c r="N437" s="126">
        <v>94</v>
      </c>
      <c r="O437" s="126">
        <v>36</v>
      </c>
    </row>
    <row r="438" spans="1:15">
      <c r="A438" s="126" t="s">
        <v>636</v>
      </c>
      <c r="B438" s="126">
        <v>0</v>
      </c>
      <c r="G438" s="126" t="s">
        <v>999</v>
      </c>
      <c r="H438" s="126">
        <v>65</v>
      </c>
      <c r="L438" s="126" t="s">
        <v>1458</v>
      </c>
      <c r="M438" s="127" t="s">
        <v>1417</v>
      </c>
      <c r="N438" s="126">
        <v>93</v>
      </c>
      <c r="O438" s="126">
        <v>34</v>
      </c>
    </row>
    <row r="439" spans="1:15">
      <c r="A439" s="126" t="s">
        <v>636</v>
      </c>
      <c r="B439" s="126">
        <v>0</v>
      </c>
      <c r="G439" s="126" t="s">
        <v>1000</v>
      </c>
      <c r="H439" s="126">
        <v>62</v>
      </c>
      <c r="L439" s="126" t="s">
        <v>1459</v>
      </c>
      <c r="M439" s="127" t="s">
        <v>1417</v>
      </c>
      <c r="N439" s="126">
        <v>92</v>
      </c>
      <c r="O439" s="126">
        <v>33</v>
      </c>
    </row>
    <row r="440" spans="1:15">
      <c r="A440" s="126" t="s">
        <v>637</v>
      </c>
      <c r="B440" s="126">
        <v>0</v>
      </c>
      <c r="G440" s="126" t="s">
        <v>1001</v>
      </c>
      <c r="H440" s="126">
        <v>60</v>
      </c>
      <c r="L440" s="126" t="s">
        <v>1460</v>
      </c>
      <c r="M440" s="127" t="s">
        <v>1417</v>
      </c>
      <c r="N440" s="126">
        <v>91</v>
      </c>
      <c r="O440" s="126">
        <v>31</v>
      </c>
    </row>
    <row r="441" spans="1:15">
      <c r="A441" s="126" t="s">
        <v>638</v>
      </c>
      <c r="B441" s="126">
        <v>0</v>
      </c>
      <c r="G441" s="126" t="s">
        <v>1002</v>
      </c>
      <c r="H441" s="126">
        <v>57</v>
      </c>
      <c r="L441" s="126" t="s">
        <v>1461</v>
      </c>
      <c r="M441" s="127" t="s">
        <v>1417</v>
      </c>
      <c r="N441" s="126">
        <v>90</v>
      </c>
      <c r="O441" s="126">
        <v>30</v>
      </c>
    </row>
    <row r="442" spans="1:15">
      <c r="A442" s="126" t="s">
        <v>1021</v>
      </c>
      <c r="B442" s="126">
        <v>96</v>
      </c>
      <c r="G442" s="126" t="s">
        <v>1003</v>
      </c>
      <c r="H442" s="126">
        <v>54</v>
      </c>
      <c r="L442" s="126" t="s">
        <v>1462</v>
      </c>
      <c r="M442" s="127" t="s">
        <v>1417</v>
      </c>
      <c r="N442" s="126">
        <v>89</v>
      </c>
      <c r="O442" s="126">
        <v>28</v>
      </c>
    </row>
    <row r="443" spans="1:15">
      <c r="A443" s="126" t="s">
        <v>1022</v>
      </c>
      <c r="B443" s="126">
        <v>90</v>
      </c>
      <c r="G443" s="126" t="s">
        <v>1004</v>
      </c>
      <c r="H443" s="126">
        <v>49</v>
      </c>
      <c r="L443" s="126" t="s">
        <v>1463</v>
      </c>
      <c r="M443" s="127" t="s">
        <v>1417</v>
      </c>
      <c r="N443" s="126">
        <v>88</v>
      </c>
      <c r="O443" s="126">
        <v>27</v>
      </c>
    </row>
    <row r="444" spans="1:15">
      <c r="A444" s="126" t="s">
        <v>1023</v>
      </c>
      <c r="B444" s="126">
        <v>85</v>
      </c>
      <c r="G444" s="126" t="s">
        <v>1004</v>
      </c>
      <c r="H444" s="126">
        <v>49</v>
      </c>
      <c r="L444" s="126" t="s">
        <v>1464</v>
      </c>
      <c r="M444" s="127" t="s">
        <v>1417</v>
      </c>
      <c r="N444" s="126">
        <v>87</v>
      </c>
      <c r="O444" s="126">
        <v>26</v>
      </c>
    </row>
    <row r="445" spans="1:15">
      <c r="A445" s="126" t="s">
        <v>1023</v>
      </c>
      <c r="B445" s="126">
        <v>85</v>
      </c>
      <c r="G445" s="126" t="s">
        <v>1005</v>
      </c>
      <c r="H445" s="126">
        <v>44</v>
      </c>
      <c r="L445" s="126" t="s">
        <v>1465</v>
      </c>
      <c r="M445" s="127" t="s">
        <v>1417</v>
      </c>
      <c r="N445" s="126">
        <v>86</v>
      </c>
      <c r="O445" s="126">
        <v>25</v>
      </c>
    </row>
    <row r="446" spans="1:15">
      <c r="A446" s="126" t="s">
        <v>1024</v>
      </c>
      <c r="B446" s="126">
        <v>79</v>
      </c>
      <c r="G446" s="126" t="s">
        <v>1006</v>
      </c>
      <c r="H446" s="126">
        <v>40</v>
      </c>
      <c r="L446" s="126" t="s">
        <v>1466</v>
      </c>
      <c r="M446" s="127" t="s">
        <v>1417</v>
      </c>
      <c r="N446" s="126">
        <v>85</v>
      </c>
      <c r="O446" s="126">
        <v>23</v>
      </c>
    </row>
    <row r="447" spans="1:15">
      <c r="A447" s="126" t="s">
        <v>1025</v>
      </c>
      <c r="B447" s="126">
        <v>75</v>
      </c>
      <c r="G447" s="126" t="s">
        <v>1007</v>
      </c>
      <c r="H447" s="126">
        <v>36</v>
      </c>
      <c r="L447" s="126" t="s">
        <v>1467</v>
      </c>
      <c r="M447" s="127" t="s">
        <v>1417</v>
      </c>
      <c r="N447" s="126">
        <v>84</v>
      </c>
      <c r="O447" s="126">
        <v>22</v>
      </c>
    </row>
    <row r="448" spans="1:15">
      <c r="A448" s="126" t="s">
        <v>1026</v>
      </c>
      <c r="B448" s="126">
        <v>71</v>
      </c>
      <c r="G448" s="126" t="s">
        <v>1008</v>
      </c>
      <c r="H448" s="126">
        <v>29</v>
      </c>
      <c r="L448" s="126" t="s">
        <v>1468</v>
      </c>
      <c r="M448" s="127" t="s">
        <v>1417</v>
      </c>
      <c r="N448" s="126">
        <v>83</v>
      </c>
      <c r="O448" s="126">
        <v>21</v>
      </c>
    </row>
    <row r="449" spans="1:15">
      <c r="A449" s="126" t="s">
        <v>1026</v>
      </c>
      <c r="B449" s="126">
        <v>71</v>
      </c>
      <c r="G449" s="126" t="s">
        <v>1008</v>
      </c>
      <c r="H449" s="126">
        <v>29</v>
      </c>
      <c r="L449" s="126" t="s">
        <v>1469</v>
      </c>
      <c r="M449" s="127" t="s">
        <v>1417</v>
      </c>
      <c r="N449" s="126">
        <v>82</v>
      </c>
      <c r="O449" s="126">
        <v>20</v>
      </c>
    </row>
    <row r="450" spans="1:15">
      <c r="A450" s="126" t="s">
        <v>1027</v>
      </c>
      <c r="B450" s="126">
        <v>68</v>
      </c>
      <c r="G450" s="126" t="s">
        <v>1009</v>
      </c>
      <c r="H450" s="126">
        <v>23</v>
      </c>
      <c r="L450" s="126" t="s">
        <v>1470</v>
      </c>
      <c r="M450" s="127" t="s">
        <v>1417</v>
      </c>
      <c r="N450" s="126">
        <v>81</v>
      </c>
      <c r="O450" s="126">
        <v>19</v>
      </c>
    </row>
    <row r="451" spans="1:15">
      <c r="A451" s="126" t="s">
        <v>1028</v>
      </c>
      <c r="B451" s="126">
        <v>66</v>
      </c>
      <c r="G451" s="126" t="s">
        <v>1010</v>
      </c>
      <c r="H451" s="126">
        <v>19</v>
      </c>
      <c r="L451" s="126" t="s">
        <v>1471</v>
      </c>
      <c r="M451" s="127" t="s">
        <v>1417</v>
      </c>
      <c r="N451" s="126">
        <v>80</v>
      </c>
      <c r="O451" s="126">
        <v>18</v>
      </c>
    </row>
    <row r="452" spans="1:15">
      <c r="A452" s="126" t="s">
        <v>1029</v>
      </c>
      <c r="B452" s="126">
        <v>63</v>
      </c>
      <c r="G452" s="126" t="s">
        <v>1011</v>
      </c>
      <c r="H452" s="126">
        <v>16</v>
      </c>
      <c r="L452" s="126" t="s">
        <v>1472</v>
      </c>
      <c r="M452" s="127" t="s">
        <v>1417</v>
      </c>
      <c r="N452" s="126">
        <v>79</v>
      </c>
      <c r="O452" s="126">
        <v>17</v>
      </c>
    </row>
    <row r="453" spans="1:15">
      <c r="A453" s="126" t="s">
        <v>1029</v>
      </c>
      <c r="B453" s="126">
        <v>63</v>
      </c>
      <c r="G453" s="126" t="s">
        <v>1012</v>
      </c>
      <c r="H453" s="126">
        <v>10</v>
      </c>
      <c r="L453" s="126" t="s">
        <v>1473</v>
      </c>
      <c r="M453" s="127" t="s">
        <v>1417</v>
      </c>
      <c r="N453" s="126">
        <v>78</v>
      </c>
      <c r="O453" s="126">
        <v>16</v>
      </c>
    </row>
    <row r="454" spans="1:15">
      <c r="A454" s="126" t="s">
        <v>1030</v>
      </c>
      <c r="B454" s="126">
        <v>60</v>
      </c>
      <c r="G454" s="126" t="s">
        <v>1012</v>
      </c>
      <c r="H454" s="126">
        <v>10</v>
      </c>
      <c r="L454" s="126" t="s">
        <v>1474</v>
      </c>
      <c r="M454" s="127" t="s">
        <v>1417</v>
      </c>
      <c r="N454" s="126">
        <v>77</v>
      </c>
      <c r="O454" s="126">
        <v>15</v>
      </c>
    </row>
    <row r="455" spans="1:15">
      <c r="A455" s="126" t="s">
        <v>1031</v>
      </c>
      <c r="B455" s="126">
        <v>58</v>
      </c>
      <c r="G455" s="126" t="s">
        <v>1013</v>
      </c>
      <c r="H455" s="126">
        <v>6</v>
      </c>
      <c r="L455" s="126" t="s">
        <v>1475</v>
      </c>
      <c r="M455" s="127" t="s">
        <v>1417</v>
      </c>
      <c r="N455" s="126">
        <v>76</v>
      </c>
      <c r="O455" s="126">
        <v>14</v>
      </c>
    </row>
    <row r="456" spans="1:15">
      <c r="A456" s="126" t="s">
        <v>1031</v>
      </c>
      <c r="B456" s="126">
        <v>58</v>
      </c>
      <c r="G456" s="126" t="s">
        <v>1014</v>
      </c>
      <c r="H456" s="126">
        <v>4</v>
      </c>
      <c r="L456" s="126" t="s">
        <v>1476</v>
      </c>
      <c r="M456" s="127" t="s">
        <v>1417</v>
      </c>
      <c r="N456" s="126">
        <v>75</v>
      </c>
      <c r="O456" s="126">
        <v>13</v>
      </c>
    </row>
    <row r="457" spans="1:15">
      <c r="A457" s="126" t="s">
        <v>1032</v>
      </c>
      <c r="B457" s="126">
        <v>56</v>
      </c>
      <c r="G457" s="126" t="s">
        <v>1015</v>
      </c>
      <c r="H457" s="126">
        <v>3</v>
      </c>
      <c r="L457" s="126" t="s">
        <v>1477</v>
      </c>
      <c r="M457" s="127" t="s">
        <v>1417</v>
      </c>
      <c r="N457" s="126">
        <v>74</v>
      </c>
      <c r="O457" s="126">
        <v>13</v>
      </c>
    </row>
    <row r="458" spans="1:15">
      <c r="A458" s="126" t="s">
        <v>1033</v>
      </c>
      <c r="B458" s="126">
        <v>53</v>
      </c>
      <c r="G458" s="126" t="s">
        <v>1016</v>
      </c>
      <c r="H458" s="126">
        <v>1</v>
      </c>
      <c r="L458" s="126" t="s">
        <v>1478</v>
      </c>
      <c r="M458" s="127" t="s">
        <v>1417</v>
      </c>
      <c r="N458" s="126">
        <v>73</v>
      </c>
      <c r="O458" s="126">
        <v>12</v>
      </c>
    </row>
    <row r="459" spans="1:15">
      <c r="A459" s="126" t="s">
        <v>1033</v>
      </c>
      <c r="B459" s="126">
        <v>53</v>
      </c>
      <c r="G459" s="126" t="s">
        <v>1016</v>
      </c>
      <c r="H459" s="126">
        <v>1</v>
      </c>
      <c r="L459" s="126" t="s">
        <v>1479</v>
      </c>
      <c r="M459" s="127" t="s">
        <v>1417</v>
      </c>
      <c r="N459" s="126">
        <v>72</v>
      </c>
      <c r="O459" s="126">
        <v>11</v>
      </c>
    </row>
    <row r="460" spans="1:15">
      <c r="A460" s="126" t="s">
        <v>1034</v>
      </c>
      <c r="B460" s="126">
        <v>51</v>
      </c>
      <c r="G460" s="126" t="s">
        <v>1017</v>
      </c>
      <c r="H460" s="126">
        <v>0</v>
      </c>
      <c r="L460" s="126" t="s">
        <v>1480</v>
      </c>
      <c r="M460" s="127" t="s">
        <v>1417</v>
      </c>
      <c r="N460" s="126">
        <v>71</v>
      </c>
      <c r="O460" s="126">
        <v>10</v>
      </c>
    </row>
    <row r="461" spans="1:15">
      <c r="A461" s="126" t="s">
        <v>1035</v>
      </c>
      <c r="B461" s="126">
        <v>49</v>
      </c>
      <c r="G461" s="126" t="s">
        <v>1018</v>
      </c>
      <c r="H461" s="126">
        <v>0</v>
      </c>
      <c r="L461" s="126" t="s">
        <v>1481</v>
      </c>
      <c r="M461" s="127" t="s">
        <v>1417</v>
      </c>
      <c r="N461" s="126">
        <v>70</v>
      </c>
      <c r="O461" s="126">
        <v>9</v>
      </c>
    </row>
    <row r="462" spans="1:15">
      <c r="A462" s="126" t="s">
        <v>1035</v>
      </c>
      <c r="B462" s="126">
        <v>49</v>
      </c>
      <c r="G462" s="126" t="s">
        <v>1019</v>
      </c>
      <c r="H462" s="126">
        <v>0</v>
      </c>
      <c r="L462" s="126" t="s">
        <v>1482</v>
      </c>
      <c r="M462" s="127" t="s">
        <v>1417</v>
      </c>
      <c r="N462" s="126">
        <v>69</v>
      </c>
      <c r="O462" s="126">
        <v>9</v>
      </c>
    </row>
    <row r="463" spans="1:15">
      <c r="A463" s="126" t="s">
        <v>1036</v>
      </c>
      <c r="B463" s="126">
        <v>47</v>
      </c>
      <c r="G463" s="126" t="s">
        <v>1020</v>
      </c>
      <c r="H463" s="126">
        <v>0</v>
      </c>
      <c r="L463" s="126" t="s">
        <v>1483</v>
      </c>
      <c r="M463" s="127" t="s">
        <v>1417</v>
      </c>
      <c r="N463" s="126">
        <v>68</v>
      </c>
      <c r="O463" s="126">
        <v>8</v>
      </c>
    </row>
    <row r="464" spans="1:15">
      <c r="A464" s="126" t="s">
        <v>1037</v>
      </c>
      <c r="B464" s="126">
        <v>46</v>
      </c>
      <c r="G464" s="126" t="s">
        <v>1020</v>
      </c>
      <c r="H464" s="126">
        <v>0</v>
      </c>
      <c r="L464" s="126" t="s">
        <v>1484</v>
      </c>
      <c r="M464" s="127" t="s">
        <v>1417</v>
      </c>
      <c r="N464" s="126">
        <v>67</v>
      </c>
      <c r="O464" s="126">
        <v>7</v>
      </c>
    </row>
    <row r="465" spans="1:15">
      <c r="A465" s="126" t="s">
        <v>1038</v>
      </c>
      <c r="B465" s="126">
        <v>44</v>
      </c>
      <c r="L465" s="126" t="s">
        <v>1485</v>
      </c>
      <c r="M465" s="127" t="s">
        <v>1417</v>
      </c>
      <c r="N465" s="126">
        <v>66</v>
      </c>
      <c r="O465" s="126">
        <v>7</v>
      </c>
    </row>
    <row r="466" spans="1:15">
      <c r="A466" s="126" t="s">
        <v>1038</v>
      </c>
      <c r="B466" s="126">
        <v>44</v>
      </c>
      <c r="L466" s="126" t="s">
        <v>1486</v>
      </c>
      <c r="M466" s="127" t="s">
        <v>1417</v>
      </c>
      <c r="N466" s="126">
        <v>65</v>
      </c>
      <c r="O466" s="126">
        <v>6</v>
      </c>
    </row>
    <row r="467" spans="1:15">
      <c r="A467" s="126" t="s">
        <v>1039</v>
      </c>
      <c r="B467" s="126">
        <v>42</v>
      </c>
      <c r="L467" s="126" t="s">
        <v>1487</v>
      </c>
      <c r="M467" s="127" t="s">
        <v>1417</v>
      </c>
      <c r="N467" s="126">
        <v>64</v>
      </c>
      <c r="O467" s="126">
        <v>6</v>
      </c>
    </row>
    <row r="468" spans="1:15">
      <c r="A468" s="126" t="s">
        <v>1040</v>
      </c>
      <c r="B468" s="126">
        <v>39</v>
      </c>
      <c r="L468" s="126" t="s">
        <v>1488</v>
      </c>
      <c r="M468" s="127" t="s">
        <v>1417</v>
      </c>
      <c r="N468" s="126">
        <v>63</v>
      </c>
      <c r="O468" s="126">
        <v>5</v>
      </c>
    </row>
    <row r="469" spans="1:15">
      <c r="A469" s="126" t="s">
        <v>1040</v>
      </c>
      <c r="B469" s="126">
        <v>39</v>
      </c>
      <c r="L469" s="126" t="s">
        <v>1489</v>
      </c>
      <c r="M469" s="127" t="s">
        <v>1417</v>
      </c>
      <c r="N469" s="126">
        <v>62</v>
      </c>
      <c r="O469" s="126">
        <v>5</v>
      </c>
    </row>
    <row r="470" spans="1:15">
      <c r="A470" s="126" t="s">
        <v>1041</v>
      </c>
      <c r="B470" s="126">
        <v>36</v>
      </c>
      <c r="L470" s="126" t="s">
        <v>1490</v>
      </c>
      <c r="M470" s="127" t="s">
        <v>1417</v>
      </c>
      <c r="N470" s="126">
        <v>61</v>
      </c>
      <c r="O470" s="126">
        <v>4</v>
      </c>
    </row>
    <row r="471" spans="1:15">
      <c r="A471" s="126" t="s">
        <v>1042</v>
      </c>
      <c r="B471" s="126">
        <v>33</v>
      </c>
      <c r="L471" s="126" t="s">
        <v>1491</v>
      </c>
      <c r="M471" s="127" t="s">
        <v>1417</v>
      </c>
      <c r="N471" s="126">
        <v>60</v>
      </c>
      <c r="O471" s="126">
        <v>4</v>
      </c>
    </row>
    <row r="472" spans="1:15">
      <c r="A472" s="126" t="s">
        <v>1042</v>
      </c>
      <c r="B472" s="126">
        <v>33</v>
      </c>
      <c r="L472" s="126" t="s">
        <v>1492</v>
      </c>
      <c r="M472" s="127" t="s">
        <v>1417</v>
      </c>
      <c r="N472" s="126">
        <v>59</v>
      </c>
      <c r="O472" s="126">
        <v>3</v>
      </c>
    </row>
    <row r="473" spans="1:15">
      <c r="A473" s="126" t="s">
        <v>1043</v>
      </c>
      <c r="B473" s="126">
        <v>30</v>
      </c>
      <c r="L473" s="126" t="s">
        <v>1493</v>
      </c>
      <c r="M473" s="127" t="s">
        <v>1417</v>
      </c>
      <c r="N473" s="126">
        <v>58</v>
      </c>
      <c r="O473" s="126">
        <v>3</v>
      </c>
    </row>
    <row r="474" spans="1:15">
      <c r="A474" s="126" t="s">
        <v>1044</v>
      </c>
      <c r="B474" s="126">
        <v>26</v>
      </c>
      <c r="L474" s="126" t="s">
        <v>1494</v>
      </c>
      <c r="M474" s="127" t="s">
        <v>1417</v>
      </c>
      <c r="N474" s="126">
        <v>57</v>
      </c>
      <c r="O474" s="126">
        <v>2</v>
      </c>
    </row>
    <row r="475" spans="1:15">
      <c r="A475" s="126" t="s">
        <v>1044</v>
      </c>
      <c r="B475" s="126">
        <v>26</v>
      </c>
      <c r="L475" s="126" t="s">
        <v>1495</v>
      </c>
      <c r="M475" s="127" t="s">
        <v>1417</v>
      </c>
      <c r="N475" s="126">
        <v>56</v>
      </c>
      <c r="O475" s="126">
        <v>2</v>
      </c>
    </row>
    <row r="476" spans="1:15">
      <c r="A476" s="126" t="s">
        <v>1045</v>
      </c>
      <c r="B476" s="126">
        <v>22</v>
      </c>
      <c r="L476" s="126" t="s">
        <v>1496</v>
      </c>
      <c r="M476" s="127" t="s">
        <v>1417</v>
      </c>
      <c r="N476" s="126">
        <v>54</v>
      </c>
      <c r="O476" s="126">
        <v>2</v>
      </c>
    </row>
    <row r="477" spans="1:15">
      <c r="A477" s="126" t="s">
        <v>1046</v>
      </c>
      <c r="B477" s="126">
        <v>19</v>
      </c>
      <c r="L477" s="126" t="s">
        <v>1497</v>
      </c>
      <c r="M477" s="127" t="s">
        <v>1417</v>
      </c>
      <c r="N477" s="126">
        <v>53</v>
      </c>
      <c r="O477" s="126">
        <v>1</v>
      </c>
    </row>
    <row r="478" spans="1:15">
      <c r="A478" s="126" t="s">
        <v>1047</v>
      </c>
      <c r="B478" s="126">
        <v>15</v>
      </c>
      <c r="L478" s="126" t="s">
        <v>1498</v>
      </c>
      <c r="M478" s="127" t="s">
        <v>1417</v>
      </c>
      <c r="N478" s="126">
        <v>52</v>
      </c>
      <c r="O478" s="126">
        <v>1</v>
      </c>
    </row>
    <row r="479" spans="1:15">
      <c r="A479" s="126" t="s">
        <v>1047</v>
      </c>
      <c r="B479" s="126">
        <v>15</v>
      </c>
      <c r="L479" s="126" t="s">
        <v>1499</v>
      </c>
      <c r="M479" s="127" t="s">
        <v>1417</v>
      </c>
      <c r="N479" s="126">
        <v>51</v>
      </c>
      <c r="O479" s="126">
        <v>1</v>
      </c>
    </row>
    <row r="480" spans="1:15">
      <c r="A480" s="126" t="s">
        <v>1048</v>
      </c>
      <c r="B480" s="126">
        <v>11</v>
      </c>
      <c r="L480" s="126" t="s">
        <v>1500</v>
      </c>
      <c r="M480" s="127" t="s">
        <v>1417</v>
      </c>
      <c r="N480" s="126">
        <v>50</v>
      </c>
      <c r="O480" s="126">
        <v>1</v>
      </c>
    </row>
    <row r="481" spans="1:15">
      <c r="A481" s="126" t="s">
        <v>1049</v>
      </c>
      <c r="B481" s="126">
        <v>7</v>
      </c>
      <c r="L481" s="126" t="s">
        <v>1501</v>
      </c>
      <c r="M481" s="127" t="s">
        <v>1417</v>
      </c>
      <c r="N481" s="126">
        <v>49</v>
      </c>
      <c r="O481" s="126">
        <v>0</v>
      </c>
    </row>
    <row r="482" spans="1:15">
      <c r="A482" s="126" t="s">
        <v>1049</v>
      </c>
      <c r="B482" s="126">
        <v>7</v>
      </c>
      <c r="L482" s="126" t="s">
        <v>1502</v>
      </c>
      <c r="M482" s="127" t="s">
        <v>1417</v>
      </c>
      <c r="N482" s="126">
        <v>48</v>
      </c>
      <c r="O482" s="126">
        <v>0</v>
      </c>
    </row>
    <row r="483" spans="1:15">
      <c r="A483" s="126" t="s">
        <v>1050</v>
      </c>
      <c r="B483" s="126">
        <v>4</v>
      </c>
      <c r="L483" s="126" t="s">
        <v>1503</v>
      </c>
      <c r="M483" s="127" t="s">
        <v>1417</v>
      </c>
      <c r="N483" s="126">
        <v>47</v>
      </c>
      <c r="O483" s="126">
        <v>0</v>
      </c>
    </row>
    <row r="484" spans="1:15">
      <c r="A484" s="126" t="s">
        <v>1051</v>
      </c>
      <c r="B484" s="126">
        <v>2</v>
      </c>
      <c r="L484" s="126" t="s">
        <v>1504</v>
      </c>
      <c r="M484" s="127" t="s">
        <v>1417</v>
      </c>
      <c r="N484" s="126">
        <v>46</v>
      </c>
      <c r="O484" s="126">
        <v>0</v>
      </c>
    </row>
    <row r="485" spans="1:15">
      <c r="A485" s="126" t="s">
        <v>1051</v>
      </c>
      <c r="B485" s="126">
        <v>2</v>
      </c>
      <c r="L485" s="126" t="s">
        <v>1505</v>
      </c>
      <c r="M485" s="127" t="s">
        <v>1417</v>
      </c>
      <c r="N485" s="126">
        <v>45</v>
      </c>
      <c r="O485" s="126">
        <v>0</v>
      </c>
    </row>
    <row r="486" spans="1:15">
      <c r="A486" s="126" t="s">
        <v>1052</v>
      </c>
      <c r="B486" s="126">
        <v>1</v>
      </c>
      <c r="L486" s="126" t="s">
        <v>1506</v>
      </c>
      <c r="M486" s="127" t="s">
        <v>1417</v>
      </c>
      <c r="N486" s="126">
        <v>44</v>
      </c>
      <c r="O486" s="126">
        <v>0</v>
      </c>
    </row>
    <row r="487" spans="1:15">
      <c r="A487" s="126" t="s">
        <v>1053</v>
      </c>
      <c r="B487" s="126">
        <v>1</v>
      </c>
      <c r="L487" s="126" t="s">
        <v>1507</v>
      </c>
      <c r="M487" s="127" t="s">
        <v>1417</v>
      </c>
      <c r="N487" s="126">
        <v>43</v>
      </c>
      <c r="O487" s="126">
        <v>0</v>
      </c>
    </row>
    <row r="488" spans="1:15">
      <c r="A488" s="126" t="s">
        <v>1053</v>
      </c>
      <c r="B488" s="126">
        <v>1</v>
      </c>
      <c r="L488" s="126" t="s">
        <v>1508</v>
      </c>
      <c r="M488" s="127" t="s">
        <v>1417</v>
      </c>
      <c r="N488" s="126">
        <v>42</v>
      </c>
      <c r="O488" s="126">
        <v>0</v>
      </c>
    </row>
    <row r="489" spans="1:15">
      <c r="A489" s="126" t="s">
        <v>1054</v>
      </c>
      <c r="B489" s="126">
        <v>0</v>
      </c>
      <c r="L489" s="126" t="s">
        <v>1509</v>
      </c>
      <c r="M489" s="127" t="s">
        <v>1417</v>
      </c>
      <c r="N489" s="126">
        <v>41</v>
      </c>
      <c r="O489" s="126">
        <v>0</v>
      </c>
    </row>
    <row r="490" spans="1:15">
      <c r="A490" s="126" t="s">
        <v>1055</v>
      </c>
      <c r="B490" s="126">
        <v>0</v>
      </c>
      <c r="L490" s="126" t="s">
        <v>1510</v>
      </c>
      <c r="M490" s="127" t="s">
        <v>1417</v>
      </c>
      <c r="N490" s="126">
        <v>40</v>
      </c>
      <c r="O490" s="126">
        <v>0</v>
      </c>
    </row>
    <row r="491" spans="1:15">
      <c r="L491" s="126" t="s">
        <v>1511</v>
      </c>
      <c r="M491" s="127" t="s">
        <v>1417</v>
      </c>
      <c r="N491" s="126">
        <v>39</v>
      </c>
      <c r="O491" s="126">
        <v>0</v>
      </c>
    </row>
    <row r="492" spans="1:15">
      <c r="L492" s="126" t="s">
        <v>1512</v>
      </c>
      <c r="M492" s="127" t="s">
        <v>1417</v>
      </c>
      <c r="N492" s="126">
        <v>38</v>
      </c>
      <c r="O492" s="126">
        <v>0</v>
      </c>
    </row>
    <row r="493" spans="1:15">
      <c r="L493" s="126" t="s">
        <v>1513</v>
      </c>
      <c r="M493" s="127" t="s">
        <v>1417</v>
      </c>
      <c r="N493" s="126">
        <v>37</v>
      </c>
      <c r="O493" s="126">
        <v>0</v>
      </c>
    </row>
    <row r="494" spans="1:15">
      <c r="L494" s="126" t="s">
        <v>1514</v>
      </c>
      <c r="M494" s="127" t="s">
        <v>1417</v>
      </c>
      <c r="N494" s="126">
        <v>36</v>
      </c>
      <c r="O494" s="126">
        <v>0</v>
      </c>
    </row>
    <row r="495" spans="1:15">
      <c r="L495" s="126" t="s">
        <v>1515</v>
      </c>
      <c r="M495" s="127" t="s">
        <v>1417</v>
      </c>
      <c r="N495" s="126">
        <v>34</v>
      </c>
      <c r="O495" s="126">
        <v>0</v>
      </c>
    </row>
    <row r="496" spans="1:15">
      <c r="L496" s="126"/>
      <c r="M496" s="127"/>
      <c r="N496" s="126"/>
      <c r="O496" s="126"/>
    </row>
  </sheetData>
  <sheetProtection algorithmName="SHA-512" hashValue="9Ki0l1XUFNrHKYpF3oQNqivwdy/4YK0fZtdtp6GsdUY5jY1N5q3adQzw62b9W3SqoUV6fbLEqIKD7xPTFJXGDQ==" saltValue="tcRlv/WNhwt1de6GvPiLbA==" spinCount="100000" sheet="1" objects="1" scenarios="1" selectLockedCells="1"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7"/>
  <sheetViews>
    <sheetView topLeftCell="A15" workbookViewId="0">
      <selection activeCell="B17" sqref="B17:B37"/>
    </sheetView>
  </sheetViews>
  <sheetFormatPr defaultRowHeight="16.5"/>
  <cols>
    <col min="1" max="7" width="9" style="32"/>
    <col min="8" max="8" width="9.75" style="32" customWidth="1"/>
    <col min="9" max="26" width="9" style="32"/>
    <col min="27" max="38" width="9" style="32" customWidth="1"/>
    <col min="39" max="16384" width="9" style="32"/>
  </cols>
  <sheetData>
    <row r="3" spans="2:9">
      <c r="C3" s="32">
        <v>3</v>
      </c>
      <c r="D3" s="32">
        <v>10</v>
      </c>
      <c r="E3" s="32">
        <v>8</v>
      </c>
    </row>
    <row r="4" spans="2:9">
      <c r="C4" s="29" t="str">
        <f>INDEX($B$17:$B$26,$C$3,1)</f>
        <v>한국사</v>
      </c>
      <c r="D4" s="29" t="str">
        <f>INDEX($B$17:$B$26,$D$3,1)</f>
        <v>사문</v>
      </c>
      <c r="E4" s="29" t="str">
        <f>INDEX($B$29:$B$37,$E$3,1)</f>
        <v>베트남</v>
      </c>
    </row>
    <row r="5" spans="2:9">
      <c r="B5" s="32" t="s">
        <v>117</v>
      </c>
      <c r="C5" s="31">
        <f>계산내역상세!F5</f>
        <v>60</v>
      </c>
      <c r="D5" s="31">
        <f>계산내역상세!G5</f>
        <v>66</v>
      </c>
      <c r="E5" s="31">
        <f>계산내역상세!H5</f>
        <v>0</v>
      </c>
    </row>
    <row r="6" spans="2:9">
      <c r="B6" s="32" t="s">
        <v>118</v>
      </c>
      <c r="C6" s="31">
        <f>계산내역상세!F6</f>
        <v>75</v>
      </c>
      <c r="D6" s="31">
        <f>계산내역상세!G6</f>
        <v>98</v>
      </c>
      <c r="E6" s="31">
        <f>계산내역상세!H6</f>
        <v>0</v>
      </c>
    </row>
    <row r="7" spans="2:9">
      <c r="B7" s="32" t="s">
        <v>251</v>
      </c>
      <c r="C7" s="29">
        <f ca="1">OFFSET(B16,C3,6)</f>
        <v>58.75</v>
      </c>
      <c r="D7" s="29">
        <f ca="1">OFFSET(B16,D3,6)</f>
        <v>65.849999999999994</v>
      </c>
    </row>
    <row r="8" spans="2:9">
      <c r="B8" s="32" t="s">
        <v>252</v>
      </c>
      <c r="C8" s="29">
        <f ca="1">OFFSET(B16,C3,7)</f>
        <v>58.42</v>
      </c>
      <c r="D8" s="29">
        <f ca="1">OFFSET(B16,D3,7)</f>
        <v>67.25</v>
      </c>
      <c r="E8" s="29"/>
    </row>
    <row r="10" spans="2:9">
      <c r="C10" s="32">
        <f>COUNTIF(C4:D4,"=한국사")</f>
        <v>1</v>
      </c>
    </row>
    <row r="14" spans="2:9" ht="17.25" thickBot="1"/>
    <row r="15" spans="2:9">
      <c r="B15" s="33" t="s">
        <v>91</v>
      </c>
    </row>
    <row r="16" spans="2:9">
      <c r="B16" s="34" t="s">
        <v>92</v>
      </c>
      <c r="C16" s="32" t="s">
        <v>113</v>
      </c>
      <c r="D16" s="32" t="s">
        <v>114</v>
      </c>
      <c r="E16" s="32" t="s">
        <v>115</v>
      </c>
      <c r="F16" s="32" t="s">
        <v>116</v>
      </c>
      <c r="H16" s="32" t="s">
        <v>249</v>
      </c>
      <c r="I16" s="32" t="s">
        <v>250</v>
      </c>
    </row>
    <row r="17" spans="2:9">
      <c r="B17" s="35" t="s">
        <v>101</v>
      </c>
      <c r="C17" s="32">
        <v>67</v>
      </c>
      <c r="D17" s="32">
        <v>22</v>
      </c>
      <c r="E17" s="32">
        <f t="shared" ref="E17:E26" si="0">IF(B17=$C$4,$C$5,IF(B17=$D$4,$D$5,0))</f>
        <v>0</v>
      </c>
      <c r="F17" s="32">
        <f>(E17-D17)/(C17-D17)*35+65</f>
        <v>47.888888888888886</v>
      </c>
      <c r="G17" s="32">
        <f>LARGE(F17:F37,1)</f>
        <v>100</v>
      </c>
      <c r="H17" s="32">
        <f>VLOOKUP($E$17,서울대사탐변표!$B:$C,2,FALSE)</f>
        <v>0</v>
      </c>
      <c r="I17" s="32">
        <f>VLOOKUP($E$17,서울대사탐교차!$B:$C,2,FALSE)</f>
        <v>0</v>
      </c>
    </row>
    <row r="18" spans="2:9">
      <c r="B18" s="35" t="s">
        <v>102</v>
      </c>
      <c r="C18" s="32">
        <v>69</v>
      </c>
      <c r="D18" s="32">
        <v>26</v>
      </c>
      <c r="E18" s="32">
        <f t="shared" si="0"/>
        <v>0</v>
      </c>
      <c r="F18" s="32">
        <f t="shared" ref="F18:F37" si="1">(E18-D18)/(C18-D18)*35+65</f>
        <v>43.837209302325583</v>
      </c>
      <c r="G18" s="32">
        <f>LARGE(F17:F37,2)</f>
        <v>96</v>
      </c>
      <c r="H18" s="32">
        <f>VLOOKUP($E$18,서울대사탐변표!$E:$F,2,FALSE)</f>
        <v>0</v>
      </c>
      <c r="I18" s="32">
        <f>VLOOKUP($E$18,서울대사탐교차!$E:$F,2,FALSE)</f>
        <v>0</v>
      </c>
    </row>
    <row r="19" spans="2:9">
      <c r="B19" s="35" t="s">
        <v>103</v>
      </c>
      <c r="C19" s="32">
        <v>64</v>
      </c>
      <c r="D19" s="32">
        <v>29</v>
      </c>
      <c r="E19" s="32">
        <f t="shared" si="0"/>
        <v>60</v>
      </c>
      <c r="F19" s="32">
        <f t="shared" si="1"/>
        <v>96</v>
      </c>
      <c r="H19" s="32">
        <f>VLOOKUP($E$19,서울대사탐변표!$H:$I,2,FALSE)</f>
        <v>58.75</v>
      </c>
      <c r="I19" s="32">
        <f>VLOOKUP($E$19,서울대사탐교차!$H:$I,2,FALSE)</f>
        <v>58.42</v>
      </c>
    </row>
    <row r="20" spans="2:9">
      <c r="B20" s="35" t="s">
        <v>104</v>
      </c>
      <c r="C20" s="32">
        <v>69</v>
      </c>
      <c r="D20" s="32">
        <v>24</v>
      </c>
      <c r="E20" s="32">
        <f t="shared" si="0"/>
        <v>0</v>
      </c>
      <c r="F20" s="32">
        <f t="shared" si="1"/>
        <v>46.333333333333329</v>
      </c>
      <c r="H20" s="32">
        <f>VLOOKUP($E$20,서울대사탐변표!$K:$L,2,FALSE)</f>
        <v>0</v>
      </c>
      <c r="I20" s="32">
        <f>VLOOKUP($E$20,서울대사탐교차!$K:$L,2,FALSE)</f>
        <v>0</v>
      </c>
    </row>
    <row r="21" spans="2:9">
      <c r="B21" s="35" t="s">
        <v>105</v>
      </c>
      <c r="C21" s="32">
        <v>66</v>
      </c>
      <c r="D21" s="32">
        <v>24</v>
      </c>
      <c r="E21" s="32">
        <f t="shared" si="0"/>
        <v>0</v>
      </c>
      <c r="F21" s="32">
        <f t="shared" si="1"/>
        <v>45</v>
      </c>
      <c r="H21" s="32">
        <f>VLOOKUP($E$21,서울대사탐변표!$N:$O,2,FALSE)</f>
        <v>0</v>
      </c>
      <c r="I21" s="32">
        <f>VLOOKUP($E$21,서울대사탐교차!$N:$O,2,FALSE)</f>
        <v>0</v>
      </c>
    </row>
    <row r="22" spans="2:9">
      <c r="B22" s="35" t="s">
        <v>106</v>
      </c>
      <c r="C22" s="32">
        <v>66</v>
      </c>
      <c r="D22" s="32">
        <v>27</v>
      </c>
      <c r="E22" s="32">
        <f t="shared" si="0"/>
        <v>0</v>
      </c>
      <c r="F22" s="32">
        <f t="shared" si="1"/>
        <v>40.769230769230774</v>
      </c>
      <c r="H22" s="32">
        <f>VLOOKUP($E$22,서울대사탐변표!$Q:$R,2,FALSE)</f>
        <v>0</v>
      </c>
      <c r="I22" s="32">
        <f>VLOOKUP($E$22,서울대사탐교차!$Q:$R,2,FALSE)</f>
        <v>0</v>
      </c>
    </row>
    <row r="23" spans="2:9">
      <c r="B23" s="35" t="s">
        <v>107</v>
      </c>
      <c r="C23" s="32">
        <v>66</v>
      </c>
      <c r="D23" s="32">
        <v>30</v>
      </c>
      <c r="E23" s="32">
        <f t="shared" si="0"/>
        <v>0</v>
      </c>
      <c r="F23" s="32">
        <f t="shared" si="1"/>
        <v>35.833333333333329</v>
      </c>
      <c r="H23" s="32">
        <f>VLOOKUP($E$23,서울대사탐변표!$T:$U,2,FALSE)</f>
        <v>0</v>
      </c>
      <c r="I23" s="32">
        <f>VLOOKUP($E$23,서울대사탐교차!$T:$U,2,FALSE)</f>
        <v>0</v>
      </c>
    </row>
    <row r="24" spans="2:9">
      <c r="B24" s="35" t="s">
        <v>108</v>
      </c>
      <c r="C24" s="32">
        <v>67</v>
      </c>
      <c r="D24" s="32">
        <v>28</v>
      </c>
      <c r="E24" s="32">
        <f t="shared" si="0"/>
        <v>0</v>
      </c>
      <c r="F24" s="32">
        <f t="shared" si="1"/>
        <v>39.871794871794876</v>
      </c>
      <c r="H24" s="32">
        <f>VLOOKUP($E$24,서울대사탐변표!$W:$X,2,FALSE)</f>
        <v>0</v>
      </c>
      <c r="I24" s="32">
        <f>VLOOKUP($E$24,서울대사탐교차!$W:$X,2,FALSE)</f>
        <v>0</v>
      </c>
    </row>
    <row r="25" spans="2:9">
      <c r="B25" s="35" t="s">
        <v>109</v>
      </c>
      <c r="C25" s="32">
        <v>64</v>
      </c>
      <c r="D25" s="32">
        <v>26</v>
      </c>
      <c r="E25" s="32">
        <f t="shared" si="0"/>
        <v>0</v>
      </c>
      <c r="F25" s="32">
        <f t="shared" si="1"/>
        <v>41.05263157894737</v>
      </c>
      <c r="H25" s="32">
        <f>VLOOKUP($E$25,서울대사탐변표!$Z:$AA,2,FALSE)</f>
        <v>0</v>
      </c>
      <c r="I25" s="32">
        <f>VLOOKUP($E$25,서울대사탐교차!$Z:$AA,2,FALSE)</f>
        <v>0</v>
      </c>
    </row>
    <row r="26" spans="2:9" ht="17.25" thickBot="1">
      <c r="B26" s="35" t="s">
        <v>110</v>
      </c>
      <c r="C26" s="32">
        <v>66</v>
      </c>
      <c r="D26" s="32">
        <v>27</v>
      </c>
      <c r="E26" s="32">
        <f t="shared" si="0"/>
        <v>66</v>
      </c>
      <c r="F26" s="32">
        <f t="shared" si="1"/>
        <v>100</v>
      </c>
      <c r="H26" s="32">
        <f>VLOOKUP($E$26,서울대사탐변표!$AC:$AD,2,FALSE)</f>
        <v>65.849999999999994</v>
      </c>
      <c r="I26" s="32">
        <f>VLOOKUP($E$26,서울대사탐교차!$AC:$AD,2,FALSE)</f>
        <v>67.25</v>
      </c>
    </row>
    <row r="27" spans="2:9">
      <c r="B27" s="33" t="s">
        <v>93</v>
      </c>
    </row>
    <row r="28" spans="2:9">
      <c r="B28" s="34" t="s">
        <v>92</v>
      </c>
      <c r="C28" s="32" t="s">
        <v>113</v>
      </c>
      <c r="D28" s="32" t="s">
        <v>114</v>
      </c>
      <c r="E28" s="32" t="s">
        <v>115</v>
      </c>
      <c r="F28" s="32" t="s">
        <v>116</v>
      </c>
    </row>
    <row r="29" spans="2:9">
      <c r="B29" s="35" t="s">
        <v>94</v>
      </c>
      <c r="C29" s="36">
        <v>65</v>
      </c>
      <c r="D29" s="36">
        <v>29</v>
      </c>
      <c r="E29" s="32">
        <f t="shared" ref="E29:E37" si="2">IF(B29=$E$4,$E$5,0)</f>
        <v>0</v>
      </c>
      <c r="F29" s="32">
        <f t="shared" si="1"/>
        <v>36.805555555555557</v>
      </c>
    </row>
    <row r="30" spans="2:9">
      <c r="B30" s="35" t="s">
        <v>95</v>
      </c>
      <c r="C30" s="36">
        <v>68</v>
      </c>
      <c r="D30" s="36">
        <v>26</v>
      </c>
      <c r="E30" s="32">
        <f t="shared" si="2"/>
        <v>0</v>
      </c>
      <c r="F30" s="32">
        <f t="shared" si="1"/>
        <v>43.333333333333329</v>
      </c>
    </row>
    <row r="31" spans="2:9">
      <c r="B31" s="35" t="s">
        <v>96</v>
      </c>
      <c r="C31" s="32">
        <v>66</v>
      </c>
      <c r="D31" s="32">
        <v>29</v>
      </c>
      <c r="E31" s="32">
        <f t="shared" si="2"/>
        <v>0</v>
      </c>
      <c r="F31" s="32">
        <f t="shared" si="1"/>
        <v>37.567567567567565</v>
      </c>
    </row>
    <row r="32" spans="2:9">
      <c r="B32" s="35" t="s">
        <v>97</v>
      </c>
      <c r="C32" s="32">
        <v>71</v>
      </c>
      <c r="D32" s="32">
        <v>29</v>
      </c>
      <c r="E32" s="32">
        <f t="shared" si="2"/>
        <v>0</v>
      </c>
      <c r="F32" s="32">
        <f t="shared" si="1"/>
        <v>40.833333333333329</v>
      </c>
    </row>
    <row r="33" spans="2:6">
      <c r="B33" s="35" t="s">
        <v>98</v>
      </c>
      <c r="C33" s="32">
        <v>66</v>
      </c>
      <c r="D33" s="32">
        <v>27</v>
      </c>
      <c r="E33" s="32">
        <f t="shared" si="2"/>
        <v>0</v>
      </c>
      <c r="F33" s="32">
        <f t="shared" si="1"/>
        <v>40.769230769230774</v>
      </c>
    </row>
    <row r="34" spans="2:6">
      <c r="B34" s="35" t="s">
        <v>99</v>
      </c>
      <c r="C34" s="32">
        <v>77</v>
      </c>
      <c r="D34" s="32">
        <v>37</v>
      </c>
      <c r="E34" s="32">
        <f t="shared" si="2"/>
        <v>0</v>
      </c>
      <c r="F34" s="32">
        <f t="shared" si="1"/>
        <v>32.625</v>
      </c>
    </row>
    <row r="35" spans="2:6">
      <c r="B35" s="35" t="s">
        <v>100</v>
      </c>
      <c r="C35" s="32">
        <v>87</v>
      </c>
      <c r="D35" s="32">
        <v>35</v>
      </c>
      <c r="E35" s="32">
        <f t="shared" si="2"/>
        <v>0</v>
      </c>
      <c r="F35" s="32">
        <f t="shared" si="1"/>
        <v>41.442307692307693</v>
      </c>
    </row>
    <row r="36" spans="2:6">
      <c r="B36" s="35" t="s">
        <v>111</v>
      </c>
      <c r="C36" s="32">
        <v>89</v>
      </c>
      <c r="D36" s="32">
        <v>35</v>
      </c>
      <c r="E36" s="32">
        <f t="shared" si="2"/>
        <v>0</v>
      </c>
      <c r="F36" s="32">
        <f t="shared" si="1"/>
        <v>42.314814814814817</v>
      </c>
    </row>
    <row r="37" spans="2:6" ht="17.25" thickBot="1">
      <c r="B37" s="37" t="s">
        <v>112</v>
      </c>
      <c r="C37" s="32">
        <v>71</v>
      </c>
      <c r="D37" s="32">
        <v>31</v>
      </c>
      <c r="E37" s="32">
        <f t="shared" si="2"/>
        <v>0</v>
      </c>
      <c r="F37" s="32">
        <f t="shared" si="1"/>
        <v>37.875</v>
      </c>
    </row>
  </sheetData>
  <sheetProtection algorithmName="SHA-512" hashValue="Q7a9XOn2SbEZyUDBtBnTUQqqJyHnsQ2QhcJV1YSZqBJ8BcwG0ZPlbT+1ogOQU136lBmsL8MyuP8CYqJzq7xPBg==" saltValue="yPAETsC6RbtbZQuPyA8Hsw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topLeftCell="J1" zoomScale="85" zoomScaleNormal="85" workbookViewId="0">
      <selection activeCell="X40" sqref="X40"/>
    </sheetView>
  </sheetViews>
  <sheetFormatPr defaultRowHeight="16.5"/>
  <sheetData>
    <row r="1" spans="1:30">
      <c r="A1" s="289" t="s">
        <v>228</v>
      </c>
      <c r="B1" s="290"/>
      <c r="C1" s="291"/>
      <c r="D1" s="289" t="s">
        <v>229</v>
      </c>
      <c r="E1" s="290"/>
      <c r="F1" s="291"/>
      <c r="G1" s="289" t="s">
        <v>230</v>
      </c>
      <c r="H1" s="290"/>
      <c r="I1" s="291"/>
      <c r="J1" s="289" t="s">
        <v>231</v>
      </c>
      <c r="K1" s="290"/>
      <c r="L1" s="291"/>
      <c r="M1" s="289" t="s">
        <v>232</v>
      </c>
      <c r="N1" s="290"/>
      <c r="O1" s="291"/>
      <c r="P1" s="289" t="s">
        <v>233</v>
      </c>
      <c r="Q1" s="290"/>
      <c r="R1" s="291"/>
      <c r="S1" s="289" t="s">
        <v>234</v>
      </c>
      <c r="T1" s="290"/>
      <c r="U1" s="291"/>
      <c r="V1" s="289" t="s">
        <v>235</v>
      </c>
      <c r="W1" s="290"/>
      <c r="X1" s="291"/>
      <c r="Y1" s="289" t="s">
        <v>236</v>
      </c>
      <c r="Z1" s="290"/>
      <c r="AA1" s="291"/>
      <c r="AB1" s="289" t="s">
        <v>237</v>
      </c>
      <c r="AC1" s="290"/>
      <c r="AD1" s="291"/>
    </row>
    <row r="2" spans="1:30">
      <c r="A2" s="107" t="s">
        <v>238</v>
      </c>
      <c r="B2" s="108" t="s">
        <v>239</v>
      </c>
      <c r="C2" s="109" t="s">
        <v>240</v>
      </c>
      <c r="D2" s="107" t="s">
        <v>238</v>
      </c>
      <c r="E2" s="108" t="s">
        <v>239</v>
      </c>
      <c r="F2" s="109" t="s">
        <v>240</v>
      </c>
      <c r="G2" s="107" t="s">
        <v>238</v>
      </c>
      <c r="H2" s="108" t="s">
        <v>239</v>
      </c>
      <c r="I2" s="109" t="s">
        <v>240</v>
      </c>
      <c r="J2" s="107" t="s">
        <v>238</v>
      </c>
      <c r="K2" s="108" t="s">
        <v>239</v>
      </c>
      <c r="L2" s="109" t="s">
        <v>240</v>
      </c>
      <c r="M2" s="107" t="s">
        <v>238</v>
      </c>
      <c r="N2" s="108" t="s">
        <v>239</v>
      </c>
      <c r="O2" s="109" t="s">
        <v>240</v>
      </c>
      <c r="P2" s="107" t="s">
        <v>238</v>
      </c>
      <c r="Q2" s="108" t="s">
        <v>239</v>
      </c>
      <c r="R2" s="109" t="s">
        <v>240</v>
      </c>
      <c r="S2" s="107" t="s">
        <v>238</v>
      </c>
      <c r="T2" s="108" t="s">
        <v>239</v>
      </c>
      <c r="U2" s="109" t="s">
        <v>240</v>
      </c>
      <c r="V2" s="107" t="s">
        <v>238</v>
      </c>
      <c r="W2" s="108" t="s">
        <v>239</v>
      </c>
      <c r="X2" s="109" t="s">
        <v>240</v>
      </c>
      <c r="Y2" s="107" t="s">
        <v>238</v>
      </c>
      <c r="Z2" s="108" t="s">
        <v>239</v>
      </c>
      <c r="AA2" s="109" t="s">
        <v>240</v>
      </c>
      <c r="AB2" s="107" t="s">
        <v>238</v>
      </c>
      <c r="AC2" s="108" t="s">
        <v>239</v>
      </c>
      <c r="AD2" s="109" t="s">
        <v>240</v>
      </c>
    </row>
    <row r="3" spans="1:30">
      <c r="A3" s="110">
        <v>98</v>
      </c>
      <c r="B3" s="111">
        <v>67</v>
      </c>
      <c r="C3" s="112">
        <v>65.849999999999994</v>
      </c>
      <c r="D3" s="110">
        <v>99</v>
      </c>
      <c r="E3" s="111">
        <v>69</v>
      </c>
      <c r="F3" s="112">
        <v>66.2</v>
      </c>
      <c r="G3" s="110">
        <v>96</v>
      </c>
      <c r="H3" s="111">
        <v>64</v>
      </c>
      <c r="I3" s="112">
        <v>65.099999999999994</v>
      </c>
      <c r="J3" s="110">
        <v>100</v>
      </c>
      <c r="K3" s="111">
        <v>69</v>
      </c>
      <c r="L3" s="112">
        <v>66.400000000000006</v>
      </c>
      <c r="M3" s="110">
        <v>99</v>
      </c>
      <c r="N3" s="111">
        <v>66</v>
      </c>
      <c r="O3" s="112">
        <v>66.2</v>
      </c>
      <c r="P3" s="110">
        <v>98</v>
      </c>
      <c r="Q3" s="111">
        <v>66</v>
      </c>
      <c r="R3" s="112">
        <v>65.849999999999994</v>
      </c>
      <c r="S3" s="110">
        <v>97</v>
      </c>
      <c r="T3" s="111">
        <v>66</v>
      </c>
      <c r="U3" s="112">
        <v>65.48</v>
      </c>
      <c r="V3" s="110">
        <v>98</v>
      </c>
      <c r="W3" s="111">
        <v>67</v>
      </c>
      <c r="X3" s="112">
        <v>65.849999999999994</v>
      </c>
      <c r="Y3" s="110">
        <v>96</v>
      </c>
      <c r="Z3" s="111">
        <v>64</v>
      </c>
      <c r="AA3" s="112">
        <v>65.099999999999994</v>
      </c>
      <c r="AB3" s="110">
        <v>98</v>
      </c>
      <c r="AC3" s="111">
        <v>66</v>
      </c>
      <c r="AD3" s="112">
        <v>65.849999999999994</v>
      </c>
    </row>
    <row r="4" spans="1:30">
      <c r="A4" s="110">
        <v>94</v>
      </c>
      <c r="B4" s="111">
        <v>65</v>
      </c>
      <c r="C4" s="112">
        <v>64.33</v>
      </c>
      <c r="D4" s="110">
        <v>98</v>
      </c>
      <c r="E4" s="111">
        <v>67</v>
      </c>
      <c r="F4" s="112">
        <v>65.849999999999994</v>
      </c>
      <c r="G4" s="110">
        <v>90</v>
      </c>
      <c r="H4" s="111">
        <v>63</v>
      </c>
      <c r="I4" s="112">
        <v>63.02</v>
      </c>
      <c r="J4" s="110">
        <v>99</v>
      </c>
      <c r="K4" s="111">
        <v>67</v>
      </c>
      <c r="L4" s="112">
        <v>66.2</v>
      </c>
      <c r="M4" s="110">
        <v>97</v>
      </c>
      <c r="N4" s="111">
        <v>65</v>
      </c>
      <c r="O4" s="112">
        <v>65.48</v>
      </c>
      <c r="P4" s="110">
        <v>95</v>
      </c>
      <c r="Q4" s="111">
        <v>64</v>
      </c>
      <c r="R4" s="112">
        <v>64.7</v>
      </c>
      <c r="S4" s="110">
        <v>91</v>
      </c>
      <c r="T4" s="111">
        <v>64</v>
      </c>
      <c r="U4" s="112">
        <v>63.38</v>
      </c>
      <c r="V4" s="110">
        <v>94</v>
      </c>
      <c r="W4" s="111">
        <v>65</v>
      </c>
      <c r="X4" s="112">
        <v>64.33</v>
      </c>
      <c r="Y4" s="110">
        <v>90</v>
      </c>
      <c r="Z4" s="111">
        <v>63</v>
      </c>
      <c r="AA4" s="112">
        <v>63.02</v>
      </c>
      <c r="AB4" s="110">
        <v>96</v>
      </c>
      <c r="AC4" s="111">
        <v>65</v>
      </c>
      <c r="AD4" s="112">
        <v>65.099999999999994</v>
      </c>
    </row>
    <row r="5" spans="1:30">
      <c r="A5" s="110">
        <v>91</v>
      </c>
      <c r="B5" s="111">
        <v>64</v>
      </c>
      <c r="C5" s="112">
        <v>63.38</v>
      </c>
      <c r="D5" s="110">
        <v>96</v>
      </c>
      <c r="E5" s="111">
        <v>66</v>
      </c>
      <c r="F5" s="112">
        <v>65.099999999999994</v>
      </c>
      <c r="G5" s="110">
        <v>85</v>
      </c>
      <c r="H5" s="111">
        <v>62</v>
      </c>
      <c r="I5" s="112">
        <v>61.64</v>
      </c>
      <c r="J5" s="110">
        <v>98</v>
      </c>
      <c r="K5" s="111">
        <v>66</v>
      </c>
      <c r="L5" s="112">
        <v>65.849999999999994</v>
      </c>
      <c r="M5" s="110">
        <v>94</v>
      </c>
      <c r="N5" s="111">
        <v>64</v>
      </c>
      <c r="O5" s="112">
        <v>64.33</v>
      </c>
      <c r="P5" s="110">
        <v>92</v>
      </c>
      <c r="Q5" s="111">
        <v>63</v>
      </c>
      <c r="R5" s="112">
        <v>63.7</v>
      </c>
      <c r="S5" s="110">
        <v>87</v>
      </c>
      <c r="T5" s="111">
        <v>63</v>
      </c>
      <c r="U5" s="112">
        <v>62.18</v>
      </c>
      <c r="V5" s="110">
        <v>91</v>
      </c>
      <c r="W5" s="111">
        <v>64</v>
      </c>
      <c r="X5" s="112">
        <v>63.38</v>
      </c>
      <c r="Y5" s="110">
        <v>85</v>
      </c>
      <c r="Z5" s="111">
        <v>62</v>
      </c>
      <c r="AA5" s="112">
        <v>61.64</v>
      </c>
      <c r="AB5" s="110">
        <v>93</v>
      </c>
      <c r="AC5" s="111">
        <v>64</v>
      </c>
      <c r="AD5" s="112">
        <v>64.02</v>
      </c>
    </row>
    <row r="6" spans="1:30">
      <c r="A6" s="110">
        <v>90</v>
      </c>
      <c r="B6" s="111">
        <v>63</v>
      </c>
      <c r="C6" s="112">
        <v>63.02</v>
      </c>
      <c r="D6" s="110">
        <v>94</v>
      </c>
      <c r="E6" s="111">
        <v>65</v>
      </c>
      <c r="F6" s="112">
        <v>64.33</v>
      </c>
      <c r="G6" s="110">
        <v>79</v>
      </c>
      <c r="H6" s="111">
        <v>61</v>
      </c>
      <c r="I6" s="112">
        <v>59.9</v>
      </c>
      <c r="J6" s="110">
        <v>96</v>
      </c>
      <c r="K6" s="111">
        <v>65</v>
      </c>
      <c r="L6" s="112">
        <v>65.099999999999994</v>
      </c>
      <c r="M6" s="110">
        <v>92</v>
      </c>
      <c r="N6" s="111">
        <v>63</v>
      </c>
      <c r="O6" s="112">
        <v>63.7</v>
      </c>
      <c r="P6" s="110">
        <v>87</v>
      </c>
      <c r="Q6" s="111">
        <v>62</v>
      </c>
      <c r="R6" s="112">
        <v>62.18</v>
      </c>
      <c r="S6" s="110">
        <v>83</v>
      </c>
      <c r="T6" s="111">
        <v>62</v>
      </c>
      <c r="U6" s="112">
        <v>61.1</v>
      </c>
      <c r="V6" s="110">
        <v>89</v>
      </c>
      <c r="W6" s="111">
        <v>63</v>
      </c>
      <c r="X6" s="112">
        <v>62.74</v>
      </c>
      <c r="Y6" s="110">
        <v>82</v>
      </c>
      <c r="Z6" s="111">
        <v>61</v>
      </c>
      <c r="AA6" s="112">
        <v>60.79</v>
      </c>
      <c r="AB6" s="110">
        <v>91</v>
      </c>
      <c r="AC6" s="111">
        <v>63</v>
      </c>
      <c r="AD6" s="112">
        <v>63.38</v>
      </c>
    </row>
    <row r="7" spans="1:30">
      <c r="A7" s="110">
        <v>87</v>
      </c>
      <c r="B7" s="111">
        <v>62</v>
      </c>
      <c r="C7" s="112">
        <v>62.18</v>
      </c>
      <c r="D7" s="110">
        <v>91</v>
      </c>
      <c r="E7" s="111">
        <v>64</v>
      </c>
      <c r="F7" s="112">
        <v>63.38</v>
      </c>
      <c r="G7" s="110">
        <v>75</v>
      </c>
      <c r="H7" s="111">
        <v>60</v>
      </c>
      <c r="I7" s="112">
        <v>58.75</v>
      </c>
      <c r="J7" s="110">
        <v>94</v>
      </c>
      <c r="K7" s="111">
        <v>64</v>
      </c>
      <c r="L7" s="112">
        <v>64.33</v>
      </c>
      <c r="M7" s="110">
        <v>90</v>
      </c>
      <c r="N7" s="111">
        <v>62</v>
      </c>
      <c r="O7" s="112">
        <v>63.02</v>
      </c>
      <c r="P7" s="110">
        <v>83</v>
      </c>
      <c r="Q7" s="111">
        <v>61</v>
      </c>
      <c r="R7" s="112">
        <v>61.1</v>
      </c>
      <c r="S7" s="110">
        <v>80</v>
      </c>
      <c r="T7" s="111">
        <v>61</v>
      </c>
      <c r="U7" s="112">
        <v>60.15</v>
      </c>
      <c r="V7" s="110">
        <v>86</v>
      </c>
      <c r="W7" s="111">
        <v>62</v>
      </c>
      <c r="X7" s="112">
        <v>61.89</v>
      </c>
      <c r="Y7" s="110">
        <v>80</v>
      </c>
      <c r="Z7" s="111">
        <v>60</v>
      </c>
      <c r="AA7" s="112">
        <v>60.15</v>
      </c>
      <c r="AB7" s="110">
        <v>87</v>
      </c>
      <c r="AC7" s="111">
        <v>62</v>
      </c>
      <c r="AD7" s="112">
        <v>62.18</v>
      </c>
    </row>
    <row r="8" spans="1:30">
      <c r="A8" s="110">
        <v>84</v>
      </c>
      <c r="B8" s="111">
        <v>61</v>
      </c>
      <c r="C8" s="112">
        <v>61.38</v>
      </c>
      <c r="D8" s="110">
        <v>88</v>
      </c>
      <c r="E8" s="111">
        <v>63</v>
      </c>
      <c r="F8" s="112">
        <v>62.47</v>
      </c>
      <c r="G8" s="110">
        <v>71</v>
      </c>
      <c r="H8" s="111">
        <v>59</v>
      </c>
      <c r="I8" s="112">
        <v>57.66</v>
      </c>
      <c r="J8" s="110">
        <v>90</v>
      </c>
      <c r="K8" s="111">
        <v>63</v>
      </c>
      <c r="L8" s="112">
        <v>63.02</v>
      </c>
      <c r="M8" s="110">
        <v>86</v>
      </c>
      <c r="N8" s="111">
        <v>61</v>
      </c>
      <c r="O8" s="112">
        <v>61.89</v>
      </c>
      <c r="P8" s="110">
        <v>79</v>
      </c>
      <c r="Q8" s="111">
        <v>60</v>
      </c>
      <c r="R8" s="112">
        <v>59.9</v>
      </c>
      <c r="S8" s="110">
        <v>77</v>
      </c>
      <c r="T8" s="111">
        <v>60</v>
      </c>
      <c r="U8" s="112">
        <v>59.34</v>
      </c>
      <c r="V8" s="110">
        <v>82</v>
      </c>
      <c r="W8" s="111">
        <v>61</v>
      </c>
      <c r="X8" s="112">
        <v>60.79</v>
      </c>
      <c r="Y8" s="110">
        <v>75</v>
      </c>
      <c r="Z8" s="111">
        <v>59</v>
      </c>
      <c r="AA8" s="112">
        <v>58.75</v>
      </c>
      <c r="AB8" s="110">
        <v>83</v>
      </c>
      <c r="AC8" s="111">
        <v>61</v>
      </c>
      <c r="AD8" s="112">
        <v>61.1</v>
      </c>
    </row>
    <row r="9" spans="1:30">
      <c r="A9" s="110">
        <v>82</v>
      </c>
      <c r="B9" s="111">
        <v>60</v>
      </c>
      <c r="C9" s="112">
        <v>60.79</v>
      </c>
      <c r="D9" s="110">
        <v>86</v>
      </c>
      <c r="E9" s="111">
        <v>62</v>
      </c>
      <c r="F9" s="112">
        <v>61.89</v>
      </c>
      <c r="G9" s="110">
        <v>68</v>
      </c>
      <c r="H9" s="111">
        <v>58</v>
      </c>
      <c r="I9" s="112">
        <v>56.73</v>
      </c>
      <c r="J9" s="110">
        <v>87</v>
      </c>
      <c r="K9" s="111">
        <v>62</v>
      </c>
      <c r="L9" s="112">
        <v>62.18</v>
      </c>
      <c r="M9" s="110">
        <v>81</v>
      </c>
      <c r="N9" s="111">
        <v>60</v>
      </c>
      <c r="O9" s="112">
        <v>60.46</v>
      </c>
      <c r="P9" s="110">
        <v>74</v>
      </c>
      <c r="Q9" s="111">
        <v>59</v>
      </c>
      <c r="R9" s="112">
        <v>58.48</v>
      </c>
      <c r="S9" s="110">
        <v>74</v>
      </c>
      <c r="T9" s="111">
        <v>59</v>
      </c>
      <c r="U9" s="112">
        <v>58.48</v>
      </c>
      <c r="V9" s="110">
        <v>78</v>
      </c>
      <c r="W9" s="111">
        <v>60</v>
      </c>
      <c r="X9" s="112">
        <v>59.64</v>
      </c>
      <c r="Y9" s="110">
        <v>71</v>
      </c>
      <c r="Z9" s="111">
        <v>58</v>
      </c>
      <c r="AA9" s="112">
        <v>57.66</v>
      </c>
      <c r="AB9" s="110">
        <v>81</v>
      </c>
      <c r="AC9" s="111">
        <v>60</v>
      </c>
      <c r="AD9" s="112">
        <v>60.46</v>
      </c>
    </row>
    <row r="10" spans="1:30">
      <c r="A10" s="110">
        <v>78</v>
      </c>
      <c r="B10" s="111">
        <v>59</v>
      </c>
      <c r="C10" s="112">
        <v>59.64</v>
      </c>
      <c r="D10" s="110">
        <v>82</v>
      </c>
      <c r="E10" s="111">
        <v>61</v>
      </c>
      <c r="F10" s="112">
        <v>60.79</v>
      </c>
      <c r="G10" s="110">
        <v>66</v>
      </c>
      <c r="H10" s="111">
        <v>57</v>
      </c>
      <c r="I10" s="112">
        <v>56.03</v>
      </c>
      <c r="J10" s="110">
        <v>84</v>
      </c>
      <c r="K10" s="111">
        <v>61</v>
      </c>
      <c r="L10" s="112">
        <v>61.38</v>
      </c>
      <c r="M10" s="110">
        <v>77</v>
      </c>
      <c r="N10" s="111">
        <v>59</v>
      </c>
      <c r="O10" s="112">
        <v>59.34</v>
      </c>
      <c r="P10" s="110">
        <v>72</v>
      </c>
      <c r="Q10" s="111">
        <v>58</v>
      </c>
      <c r="R10" s="112">
        <v>57.93</v>
      </c>
      <c r="S10" s="110">
        <v>70</v>
      </c>
      <c r="T10" s="111">
        <v>58</v>
      </c>
      <c r="U10" s="112">
        <v>57.38</v>
      </c>
      <c r="V10" s="110">
        <v>76</v>
      </c>
      <c r="W10" s="111">
        <v>59</v>
      </c>
      <c r="X10" s="112">
        <v>59.03</v>
      </c>
      <c r="Y10" s="110">
        <v>68</v>
      </c>
      <c r="Z10" s="111">
        <v>57</v>
      </c>
      <c r="AA10" s="112">
        <v>56.73</v>
      </c>
      <c r="AB10" s="110">
        <v>77</v>
      </c>
      <c r="AC10" s="111">
        <v>59</v>
      </c>
      <c r="AD10" s="112">
        <v>59.34</v>
      </c>
    </row>
    <row r="11" spans="1:30">
      <c r="A11" s="110">
        <v>76</v>
      </c>
      <c r="B11" s="111">
        <v>58</v>
      </c>
      <c r="C11" s="112">
        <v>59.03</v>
      </c>
      <c r="D11" s="110">
        <v>80</v>
      </c>
      <c r="E11" s="111">
        <v>60</v>
      </c>
      <c r="F11" s="112">
        <v>60.15</v>
      </c>
      <c r="G11" s="110">
        <v>63</v>
      </c>
      <c r="H11" s="111">
        <v>56</v>
      </c>
      <c r="I11" s="112">
        <v>55.08</v>
      </c>
      <c r="J11" s="110">
        <v>81</v>
      </c>
      <c r="K11" s="111">
        <v>60</v>
      </c>
      <c r="L11" s="112">
        <v>60.46</v>
      </c>
      <c r="M11" s="110">
        <v>74</v>
      </c>
      <c r="N11" s="111">
        <v>58</v>
      </c>
      <c r="O11" s="112">
        <v>58.48</v>
      </c>
      <c r="P11" s="110">
        <v>68</v>
      </c>
      <c r="Q11" s="111">
        <v>57</v>
      </c>
      <c r="R11" s="112">
        <v>56.73</v>
      </c>
      <c r="S11" s="110">
        <v>67</v>
      </c>
      <c r="T11" s="111">
        <v>57</v>
      </c>
      <c r="U11" s="112">
        <v>56.36</v>
      </c>
      <c r="V11" s="110">
        <v>73</v>
      </c>
      <c r="W11" s="111">
        <v>58</v>
      </c>
      <c r="X11" s="112">
        <v>58.19</v>
      </c>
      <c r="Y11" s="110">
        <v>65</v>
      </c>
      <c r="Z11" s="111">
        <v>56</v>
      </c>
      <c r="AA11" s="112">
        <v>55.71</v>
      </c>
      <c r="AB11" s="110">
        <v>72</v>
      </c>
      <c r="AC11" s="111">
        <v>58</v>
      </c>
      <c r="AD11" s="112">
        <v>57.93</v>
      </c>
    </row>
    <row r="12" spans="1:30">
      <c r="A12" s="110">
        <v>73</v>
      </c>
      <c r="B12" s="111">
        <v>57</v>
      </c>
      <c r="C12" s="112">
        <v>58.19</v>
      </c>
      <c r="D12" s="110">
        <v>76</v>
      </c>
      <c r="E12" s="111">
        <v>59</v>
      </c>
      <c r="F12" s="112">
        <v>59.03</v>
      </c>
      <c r="G12" s="110">
        <v>60</v>
      </c>
      <c r="H12" s="111">
        <v>55</v>
      </c>
      <c r="I12" s="112">
        <v>54.2</v>
      </c>
      <c r="J12" s="110">
        <v>78</v>
      </c>
      <c r="K12" s="111">
        <v>59</v>
      </c>
      <c r="L12" s="112">
        <v>59.64</v>
      </c>
      <c r="M12" s="110">
        <v>70</v>
      </c>
      <c r="N12" s="111">
        <v>57</v>
      </c>
      <c r="O12" s="112">
        <v>57.38</v>
      </c>
      <c r="P12" s="110">
        <v>64</v>
      </c>
      <c r="Q12" s="111">
        <v>56</v>
      </c>
      <c r="R12" s="112">
        <v>55.4</v>
      </c>
      <c r="S12" s="110">
        <v>65</v>
      </c>
      <c r="T12" s="111">
        <v>56</v>
      </c>
      <c r="U12" s="112">
        <v>55.71</v>
      </c>
      <c r="V12" s="110">
        <v>69</v>
      </c>
      <c r="W12" s="111">
        <v>57</v>
      </c>
      <c r="X12" s="112">
        <v>57.07</v>
      </c>
      <c r="Y12" s="110">
        <v>61</v>
      </c>
      <c r="Z12" s="111">
        <v>55</v>
      </c>
      <c r="AA12" s="112">
        <v>54.51</v>
      </c>
      <c r="AB12" s="110">
        <v>69</v>
      </c>
      <c r="AC12" s="111">
        <v>57</v>
      </c>
      <c r="AD12" s="112">
        <v>57.07</v>
      </c>
    </row>
    <row r="13" spans="1:30">
      <c r="A13" s="110">
        <v>68</v>
      </c>
      <c r="B13" s="111">
        <v>56</v>
      </c>
      <c r="C13" s="112">
        <v>56.73</v>
      </c>
      <c r="D13" s="110">
        <v>72</v>
      </c>
      <c r="E13" s="111">
        <v>58</v>
      </c>
      <c r="F13" s="112">
        <v>57.93</v>
      </c>
      <c r="G13" s="110">
        <v>58</v>
      </c>
      <c r="H13" s="111">
        <v>54</v>
      </c>
      <c r="I13" s="112">
        <v>53.53</v>
      </c>
      <c r="J13" s="110">
        <v>75</v>
      </c>
      <c r="K13" s="111">
        <v>58</v>
      </c>
      <c r="L13" s="112">
        <v>58.75</v>
      </c>
      <c r="M13" s="110">
        <v>67</v>
      </c>
      <c r="N13" s="111">
        <v>56</v>
      </c>
      <c r="O13" s="112">
        <v>56.36</v>
      </c>
      <c r="P13" s="110">
        <v>61</v>
      </c>
      <c r="Q13" s="111">
        <v>55</v>
      </c>
      <c r="R13" s="112">
        <v>54.51</v>
      </c>
      <c r="S13" s="110">
        <v>63</v>
      </c>
      <c r="T13" s="111">
        <v>55</v>
      </c>
      <c r="U13" s="112">
        <v>55.08</v>
      </c>
      <c r="V13" s="110">
        <v>66</v>
      </c>
      <c r="W13" s="111">
        <v>56</v>
      </c>
      <c r="X13" s="112">
        <v>56.03</v>
      </c>
      <c r="Y13" s="110">
        <v>59</v>
      </c>
      <c r="Z13" s="111">
        <v>54</v>
      </c>
      <c r="AA13" s="112">
        <v>53.86</v>
      </c>
      <c r="AB13" s="110">
        <v>67</v>
      </c>
      <c r="AC13" s="111">
        <v>56</v>
      </c>
      <c r="AD13" s="112">
        <v>56.36</v>
      </c>
    </row>
    <row r="14" spans="1:30">
      <c r="A14" s="110">
        <v>64</v>
      </c>
      <c r="B14" s="111">
        <v>55</v>
      </c>
      <c r="C14" s="112">
        <v>55.4</v>
      </c>
      <c r="D14" s="110">
        <v>69</v>
      </c>
      <c r="E14" s="111">
        <v>57</v>
      </c>
      <c r="F14" s="112">
        <v>57.07</v>
      </c>
      <c r="G14" s="110">
        <v>56</v>
      </c>
      <c r="H14" s="111">
        <v>53</v>
      </c>
      <c r="I14" s="112">
        <v>52.84</v>
      </c>
      <c r="J14" s="110">
        <v>71</v>
      </c>
      <c r="K14" s="111">
        <v>57</v>
      </c>
      <c r="L14" s="112">
        <v>57.66</v>
      </c>
      <c r="M14" s="110">
        <v>62</v>
      </c>
      <c r="N14" s="111">
        <v>55</v>
      </c>
      <c r="O14" s="112">
        <v>54.79</v>
      </c>
      <c r="P14" s="110">
        <v>58</v>
      </c>
      <c r="Q14" s="111">
        <v>54</v>
      </c>
      <c r="R14" s="112">
        <v>53.53</v>
      </c>
      <c r="S14" s="110">
        <v>60</v>
      </c>
      <c r="T14" s="111">
        <v>54</v>
      </c>
      <c r="U14" s="112">
        <v>54.2</v>
      </c>
      <c r="V14" s="110">
        <v>64</v>
      </c>
      <c r="W14" s="111">
        <v>55</v>
      </c>
      <c r="X14" s="112">
        <v>55.4</v>
      </c>
      <c r="Y14" s="110">
        <v>55</v>
      </c>
      <c r="Z14" s="111">
        <v>53</v>
      </c>
      <c r="AA14" s="112">
        <v>52.5</v>
      </c>
      <c r="AB14" s="110">
        <v>63</v>
      </c>
      <c r="AC14" s="111">
        <v>55</v>
      </c>
      <c r="AD14" s="112">
        <v>55.08</v>
      </c>
    </row>
    <row r="15" spans="1:30">
      <c r="A15" s="110">
        <v>61</v>
      </c>
      <c r="B15" s="111">
        <v>54</v>
      </c>
      <c r="C15" s="112">
        <v>54.51</v>
      </c>
      <c r="D15" s="110">
        <v>67</v>
      </c>
      <c r="E15" s="111">
        <v>56</v>
      </c>
      <c r="F15" s="112">
        <v>56.36</v>
      </c>
      <c r="G15" s="110">
        <v>53</v>
      </c>
      <c r="H15" s="111">
        <v>52</v>
      </c>
      <c r="I15" s="112">
        <v>51.73</v>
      </c>
      <c r="J15" s="110">
        <v>68</v>
      </c>
      <c r="K15" s="111">
        <v>56</v>
      </c>
      <c r="L15" s="112">
        <v>56.73</v>
      </c>
      <c r="M15" s="110">
        <v>58</v>
      </c>
      <c r="N15" s="111">
        <v>54</v>
      </c>
      <c r="O15" s="112">
        <v>53.53</v>
      </c>
      <c r="P15" s="110">
        <v>55</v>
      </c>
      <c r="Q15" s="111">
        <v>53</v>
      </c>
      <c r="R15" s="112">
        <v>52.5</v>
      </c>
      <c r="S15" s="110">
        <v>58</v>
      </c>
      <c r="T15" s="111">
        <v>53</v>
      </c>
      <c r="U15" s="112">
        <v>53.53</v>
      </c>
      <c r="V15" s="110">
        <v>60</v>
      </c>
      <c r="W15" s="111">
        <v>54</v>
      </c>
      <c r="X15" s="112">
        <v>54.2</v>
      </c>
      <c r="Y15" s="110">
        <v>52</v>
      </c>
      <c r="Z15" s="111">
        <v>52</v>
      </c>
      <c r="AA15" s="112">
        <v>51.35</v>
      </c>
      <c r="AB15" s="110">
        <v>59</v>
      </c>
      <c r="AC15" s="111">
        <v>54</v>
      </c>
      <c r="AD15" s="112">
        <v>53.86</v>
      </c>
    </row>
    <row r="16" spans="1:30">
      <c r="A16" s="110">
        <v>58</v>
      </c>
      <c r="B16" s="111">
        <v>53</v>
      </c>
      <c r="C16" s="112">
        <v>53.53</v>
      </c>
      <c r="D16" s="110">
        <v>64</v>
      </c>
      <c r="E16" s="111">
        <v>55</v>
      </c>
      <c r="F16" s="112">
        <v>55.4</v>
      </c>
      <c r="G16" s="110">
        <v>51</v>
      </c>
      <c r="H16" s="111">
        <v>51</v>
      </c>
      <c r="I16" s="112">
        <v>50.93</v>
      </c>
      <c r="J16" s="110">
        <v>65</v>
      </c>
      <c r="K16" s="111">
        <v>55</v>
      </c>
      <c r="L16" s="112">
        <v>55.71</v>
      </c>
      <c r="M16" s="110">
        <v>55</v>
      </c>
      <c r="N16" s="111">
        <v>53</v>
      </c>
      <c r="O16" s="112">
        <v>52.5</v>
      </c>
      <c r="P16" s="110">
        <v>52</v>
      </c>
      <c r="Q16" s="111">
        <v>52</v>
      </c>
      <c r="R16" s="112">
        <v>51.35</v>
      </c>
      <c r="S16" s="110">
        <v>56</v>
      </c>
      <c r="T16" s="111">
        <v>52</v>
      </c>
      <c r="U16" s="112">
        <v>52.84</v>
      </c>
      <c r="V16" s="110">
        <v>57</v>
      </c>
      <c r="W16" s="111">
        <v>53</v>
      </c>
      <c r="X16" s="112">
        <v>53.19</v>
      </c>
      <c r="Y16" s="110">
        <v>50</v>
      </c>
      <c r="Z16" s="111">
        <v>51</v>
      </c>
      <c r="AA16" s="112">
        <v>50.54</v>
      </c>
      <c r="AB16" s="110">
        <v>56</v>
      </c>
      <c r="AC16" s="111">
        <v>53</v>
      </c>
      <c r="AD16" s="112">
        <v>52.84</v>
      </c>
    </row>
    <row r="17" spans="1:30">
      <c r="A17" s="110">
        <v>54</v>
      </c>
      <c r="B17" s="111">
        <v>52</v>
      </c>
      <c r="C17" s="112">
        <v>52.11</v>
      </c>
      <c r="D17" s="110">
        <v>62</v>
      </c>
      <c r="E17" s="111">
        <v>54</v>
      </c>
      <c r="F17" s="112">
        <v>54.79</v>
      </c>
      <c r="G17" s="110">
        <v>49</v>
      </c>
      <c r="H17" s="111">
        <v>50</v>
      </c>
      <c r="I17" s="112">
        <v>50.16</v>
      </c>
      <c r="J17" s="110">
        <v>60</v>
      </c>
      <c r="K17" s="111">
        <v>54</v>
      </c>
      <c r="L17" s="112">
        <v>54.2</v>
      </c>
      <c r="M17" s="110">
        <v>52</v>
      </c>
      <c r="N17" s="111">
        <v>52</v>
      </c>
      <c r="O17" s="112">
        <v>51.35</v>
      </c>
      <c r="P17" s="110">
        <v>50</v>
      </c>
      <c r="Q17" s="111">
        <v>51</v>
      </c>
      <c r="R17" s="112">
        <v>50.54</v>
      </c>
      <c r="S17" s="110">
        <v>53</v>
      </c>
      <c r="T17" s="111">
        <v>51</v>
      </c>
      <c r="U17" s="112">
        <v>51.73</v>
      </c>
      <c r="V17" s="110">
        <v>55</v>
      </c>
      <c r="W17" s="111">
        <v>52</v>
      </c>
      <c r="X17" s="112">
        <v>52.5</v>
      </c>
      <c r="Y17" s="110">
        <v>47</v>
      </c>
      <c r="Z17" s="111">
        <v>50</v>
      </c>
      <c r="AA17" s="112">
        <v>49.41</v>
      </c>
      <c r="AB17" s="110">
        <v>54</v>
      </c>
      <c r="AC17" s="111">
        <v>52</v>
      </c>
      <c r="AD17" s="112">
        <v>52.11</v>
      </c>
    </row>
    <row r="18" spans="1:30">
      <c r="A18" s="110">
        <v>51</v>
      </c>
      <c r="B18" s="111">
        <v>51</v>
      </c>
      <c r="C18" s="112">
        <v>50.93</v>
      </c>
      <c r="D18" s="110">
        <v>58</v>
      </c>
      <c r="E18" s="111">
        <v>53</v>
      </c>
      <c r="F18" s="112">
        <v>53.53</v>
      </c>
      <c r="G18" s="110">
        <v>47</v>
      </c>
      <c r="H18" s="111">
        <v>49</v>
      </c>
      <c r="I18" s="112">
        <v>49.41</v>
      </c>
      <c r="J18" s="110">
        <v>55</v>
      </c>
      <c r="K18" s="111">
        <v>53</v>
      </c>
      <c r="L18" s="112">
        <v>52.5</v>
      </c>
      <c r="M18" s="110">
        <v>49</v>
      </c>
      <c r="N18" s="111">
        <v>51</v>
      </c>
      <c r="O18" s="112">
        <v>50.16</v>
      </c>
      <c r="P18" s="110">
        <v>48</v>
      </c>
      <c r="Q18" s="111">
        <v>50</v>
      </c>
      <c r="R18" s="112">
        <v>49.81</v>
      </c>
      <c r="S18" s="110">
        <v>51</v>
      </c>
      <c r="T18" s="111">
        <v>50</v>
      </c>
      <c r="U18" s="112">
        <v>50.93</v>
      </c>
      <c r="V18" s="110">
        <v>53</v>
      </c>
      <c r="W18" s="111">
        <v>51</v>
      </c>
      <c r="X18" s="112">
        <v>51.73</v>
      </c>
      <c r="Y18" s="110">
        <v>44</v>
      </c>
      <c r="Z18" s="111">
        <v>49</v>
      </c>
      <c r="AA18" s="112">
        <v>48.27</v>
      </c>
      <c r="AB18" s="110">
        <v>51</v>
      </c>
      <c r="AC18" s="111">
        <v>51</v>
      </c>
      <c r="AD18" s="112">
        <v>50.93</v>
      </c>
    </row>
    <row r="19" spans="1:30">
      <c r="A19" s="110">
        <v>48</v>
      </c>
      <c r="B19" s="111">
        <v>50</v>
      </c>
      <c r="C19" s="112">
        <v>49.81</v>
      </c>
      <c r="D19" s="110">
        <v>55</v>
      </c>
      <c r="E19" s="111">
        <v>52</v>
      </c>
      <c r="F19" s="112">
        <v>52.5</v>
      </c>
      <c r="G19" s="110">
        <v>46</v>
      </c>
      <c r="H19" s="111">
        <v>48</v>
      </c>
      <c r="I19" s="112">
        <v>48.99</v>
      </c>
      <c r="J19" s="110">
        <v>53</v>
      </c>
      <c r="K19" s="111">
        <v>52</v>
      </c>
      <c r="L19" s="112">
        <v>51.73</v>
      </c>
      <c r="M19" s="110">
        <v>45</v>
      </c>
      <c r="N19" s="111">
        <v>50</v>
      </c>
      <c r="O19" s="112">
        <v>48.62</v>
      </c>
      <c r="P19" s="110">
        <v>45</v>
      </c>
      <c r="Q19" s="111">
        <v>49</v>
      </c>
      <c r="R19" s="112">
        <v>48.62</v>
      </c>
      <c r="S19" s="110">
        <v>48</v>
      </c>
      <c r="T19" s="111">
        <v>49</v>
      </c>
      <c r="U19" s="112">
        <v>49.81</v>
      </c>
      <c r="V19" s="110">
        <v>50</v>
      </c>
      <c r="W19" s="111">
        <v>50</v>
      </c>
      <c r="X19" s="112">
        <v>50.54</v>
      </c>
      <c r="Y19" s="110">
        <v>42</v>
      </c>
      <c r="Z19" s="111">
        <v>48</v>
      </c>
      <c r="AA19" s="112">
        <v>47.47</v>
      </c>
      <c r="AB19" s="110">
        <v>47</v>
      </c>
      <c r="AC19" s="111">
        <v>50</v>
      </c>
      <c r="AD19" s="112">
        <v>49.41</v>
      </c>
    </row>
    <row r="20" spans="1:30">
      <c r="A20" s="110">
        <v>45</v>
      </c>
      <c r="B20" s="111">
        <v>49</v>
      </c>
      <c r="C20" s="112">
        <v>48.62</v>
      </c>
      <c r="D20" s="110">
        <v>53</v>
      </c>
      <c r="E20" s="111">
        <v>51</v>
      </c>
      <c r="F20" s="112">
        <v>51.73</v>
      </c>
      <c r="G20" s="110">
        <v>44</v>
      </c>
      <c r="H20" s="111">
        <v>47</v>
      </c>
      <c r="I20" s="112">
        <v>48.27</v>
      </c>
      <c r="J20" s="110">
        <v>50</v>
      </c>
      <c r="K20" s="111">
        <v>51</v>
      </c>
      <c r="L20" s="112">
        <v>50.54</v>
      </c>
      <c r="M20" s="110">
        <v>42</v>
      </c>
      <c r="N20" s="111">
        <v>49</v>
      </c>
      <c r="O20" s="112">
        <v>47.47</v>
      </c>
      <c r="P20" s="110">
        <v>43</v>
      </c>
      <c r="Q20" s="111">
        <v>48</v>
      </c>
      <c r="R20" s="112">
        <v>47.87</v>
      </c>
      <c r="S20" s="110">
        <v>47</v>
      </c>
      <c r="T20" s="111">
        <v>48</v>
      </c>
      <c r="U20" s="112">
        <v>49.41</v>
      </c>
      <c r="V20" s="110">
        <v>47</v>
      </c>
      <c r="W20" s="111">
        <v>49</v>
      </c>
      <c r="X20" s="112">
        <v>49.41</v>
      </c>
      <c r="Y20" s="110">
        <v>40</v>
      </c>
      <c r="Z20" s="111">
        <v>47</v>
      </c>
      <c r="AA20" s="112">
        <v>46.78</v>
      </c>
      <c r="AB20" s="110">
        <v>45</v>
      </c>
      <c r="AC20" s="111">
        <v>49</v>
      </c>
      <c r="AD20" s="112">
        <v>48.62</v>
      </c>
    </row>
    <row r="21" spans="1:30">
      <c r="A21" s="110">
        <v>42</v>
      </c>
      <c r="B21" s="111">
        <v>48</v>
      </c>
      <c r="C21" s="112">
        <v>47.47</v>
      </c>
      <c r="D21" s="110">
        <v>51</v>
      </c>
      <c r="E21" s="111">
        <v>50</v>
      </c>
      <c r="F21" s="112">
        <v>50.93</v>
      </c>
      <c r="G21" s="110">
        <v>42</v>
      </c>
      <c r="H21" s="111">
        <v>46</v>
      </c>
      <c r="I21" s="112">
        <v>47.47</v>
      </c>
      <c r="J21" s="110">
        <v>47</v>
      </c>
      <c r="K21" s="111">
        <v>50</v>
      </c>
      <c r="L21" s="112">
        <v>49.41</v>
      </c>
      <c r="M21" s="110">
        <v>39</v>
      </c>
      <c r="N21" s="111">
        <v>48</v>
      </c>
      <c r="O21" s="112">
        <v>46.45</v>
      </c>
      <c r="P21" s="110">
        <v>41</v>
      </c>
      <c r="Q21" s="111">
        <v>47</v>
      </c>
      <c r="R21" s="112">
        <v>47.12</v>
      </c>
      <c r="S21" s="110">
        <v>44</v>
      </c>
      <c r="T21" s="111">
        <v>47</v>
      </c>
      <c r="U21" s="112">
        <v>48.27</v>
      </c>
      <c r="V21" s="110">
        <v>45</v>
      </c>
      <c r="W21" s="111">
        <v>48</v>
      </c>
      <c r="X21" s="112">
        <v>48.62</v>
      </c>
      <c r="Y21" s="110">
        <v>37</v>
      </c>
      <c r="Z21" s="111">
        <v>46</v>
      </c>
      <c r="AA21" s="112">
        <v>45.69</v>
      </c>
      <c r="AB21" s="110">
        <v>42</v>
      </c>
      <c r="AC21" s="111">
        <v>48</v>
      </c>
      <c r="AD21" s="112">
        <v>47.47</v>
      </c>
    </row>
    <row r="22" spans="1:30">
      <c r="A22" s="110">
        <v>38</v>
      </c>
      <c r="B22" s="111">
        <v>47</v>
      </c>
      <c r="C22" s="112">
        <v>46.08</v>
      </c>
      <c r="D22" s="110">
        <v>49</v>
      </c>
      <c r="E22" s="111">
        <v>49</v>
      </c>
      <c r="F22" s="112">
        <v>50.16</v>
      </c>
      <c r="G22" s="110">
        <v>39</v>
      </c>
      <c r="H22" s="111">
        <v>45</v>
      </c>
      <c r="I22" s="112">
        <v>46.45</v>
      </c>
      <c r="J22" s="110">
        <v>44</v>
      </c>
      <c r="K22" s="111">
        <v>49</v>
      </c>
      <c r="L22" s="112">
        <v>48.27</v>
      </c>
      <c r="M22" s="110">
        <v>37</v>
      </c>
      <c r="N22" s="111">
        <v>47</v>
      </c>
      <c r="O22" s="112">
        <v>45.69</v>
      </c>
      <c r="P22" s="110">
        <v>38</v>
      </c>
      <c r="Q22" s="111">
        <v>46</v>
      </c>
      <c r="R22" s="112">
        <v>46.08</v>
      </c>
      <c r="S22" s="110">
        <v>42</v>
      </c>
      <c r="T22" s="111">
        <v>46</v>
      </c>
      <c r="U22" s="112">
        <v>47.47</v>
      </c>
      <c r="V22" s="110">
        <v>41</v>
      </c>
      <c r="W22" s="111">
        <v>47</v>
      </c>
      <c r="X22" s="112">
        <v>47.12</v>
      </c>
      <c r="Y22" s="110">
        <v>35</v>
      </c>
      <c r="Z22" s="111">
        <v>45</v>
      </c>
      <c r="AA22" s="112">
        <v>44.95</v>
      </c>
      <c r="AB22" s="110">
        <v>39</v>
      </c>
      <c r="AC22" s="111">
        <v>47</v>
      </c>
      <c r="AD22" s="112">
        <v>46.45</v>
      </c>
    </row>
    <row r="23" spans="1:30">
      <c r="A23" s="110">
        <v>34</v>
      </c>
      <c r="B23" s="111">
        <v>46</v>
      </c>
      <c r="C23" s="112">
        <v>44.6</v>
      </c>
      <c r="D23" s="110">
        <v>46</v>
      </c>
      <c r="E23" s="111">
        <v>48</v>
      </c>
      <c r="F23" s="112">
        <v>48.99</v>
      </c>
      <c r="G23" s="110">
        <v>36</v>
      </c>
      <c r="H23" s="111">
        <v>44</v>
      </c>
      <c r="I23" s="112">
        <v>45.31</v>
      </c>
      <c r="J23" s="110">
        <v>42</v>
      </c>
      <c r="K23" s="111">
        <v>48</v>
      </c>
      <c r="L23" s="112">
        <v>47.47</v>
      </c>
      <c r="M23" s="110">
        <v>35</v>
      </c>
      <c r="N23" s="111">
        <v>46</v>
      </c>
      <c r="O23" s="112">
        <v>44.95</v>
      </c>
      <c r="P23" s="110">
        <v>35</v>
      </c>
      <c r="Q23" s="111">
        <v>45</v>
      </c>
      <c r="R23" s="112">
        <v>44.95</v>
      </c>
      <c r="S23" s="110">
        <v>39</v>
      </c>
      <c r="T23" s="111">
        <v>45</v>
      </c>
      <c r="U23" s="112">
        <v>46.45</v>
      </c>
      <c r="V23" s="110">
        <v>38</v>
      </c>
      <c r="W23" s="111">
        <v>46</v>
      </c>
      <c r="X23" s="112">
        <v>46.08</v>
      </c>
      <c r="Y23" s="110">
        <v>32</v>
      </c>
      <c r="Z23" s="111">
        <v>44</v>
      </c>
      <c r="AA23" s="112">
        <v>43.9</v>
      </c>
      <c r="AB23" s="110">
        <v>37</v>
      </c>
      <c r="AC23" s="111">
        <v>46</v>
      </c>
      <c r="AD23" s="112">
        <v>45.69</v>
      </c>
    </row>
    <row r="24" spans="1:30">
      <c r="A24" s="110">
        <v>31</v>
      </c>
      <c r="B24" s="111">
        <v>45</v>
      </c>
      <c r="C24" s="112">
        <v>43.56</v>
      </c>
      <c r="D24" s="110">
        <v>42</v>
      </c>
      <c r="E24" s="111">
        <v>47</v>
      </c>
      <c r="F24" s="112">
        <v>47.47</v>
      </c>
      <c r="G24" s="110">
        <v>33</v>
      </c>
      <c r="H24" s="111">
        <v>43</v>
      </c>
      <c r="I24" s="112">
        <v>44.23</v>
      </c>
      <c r="J24" s="110">
        <v>39</v>
      </c>
      <c r="K24" s="111">
        <v>47</v>
      </c>
      <c r="L24" s="112">
        <v>46.45</v>
      </c>
      <c r="M24" s="110">
        <v>33</v>
      </c>
      <c r="N24" s="111">
        <v>45</v>
      </c>
      <c r="O24" s="112">
        <v>44.23</v>
      </c>
      <c r="P24" s="110">
        <v>33</v>
      </c>
      <c r="Q24" s="111">
        <v>44</v>
      </c>
      <c r="R24" s="112">
        <v>44.23</v>
      </c>
      <c r="S24" s="110">
        <v>36</v>
      </c>
      <c r="T24" s="111">
        <v>44</v>
      </c>
      <c r="U24" s="112">
        <v>45.31</v>
      </c>
      <c r="V24" s="110">
        <v>36</v>
      </c>
      <c r="W24" s="111">
        <v>45</v>
      </c>
      <c r="X24" s="112">
        <v>45.31</v>
      </c>
      <c r="Y24" s="110">
        <v>29</v>
      </c>
      <c r="Z24" s="111">
        <v>43</v>
      </c>
      <c r="AA24" s="112">
        <v>42.96</v>
      </c>
      <c r="AB24" s="110">
        <v>34</v>
      </c>
      <c r="AC24" s="111">
        <v>45</v>
      </c>
      <c r="AD24" s="112">
        <v>44.6</v>
      </c>
    </row>
    <row r="25" spans="1:30">
      <c r="A25" s="110">
        <v>28</v>
      </c>
      <c r="B25" s="111">
        <v>44</v>
      </c>
      <c r="C25" s="112">
        <v>42.63</v>
      </c>
      <c r="D25" s="110">
        <v>39</v>
      </c>
      <c r="E25" s="111">
        <v>46</v>
      </c>
      <c r="F25" s="112">
        <v>46.45</v>
      </c>
      <c r="G25" s="110">
        <v>30</v>
      </c>
      <c r="H25" s="111">
        <v>42</v>
      </c>
      <c r="I25" s="112">
        <v>43.25</v>
      </c>
      <c r="J25" s="110">
        <v>36</v>
      </c>
      <c r="K25" s="111">
        <v>46</v>
      </c>
      <c r="L25" s="112">
        <v>45.31</v>
      </c>
      <c r="M25" s="110">
        <v>30</v>
      </c>
      <c r="N25" s="111">
        <v>44</v>
      </c>
      <c r="O25" s="112">
        <v>43.25</v>
      </c>
      <c r="P25" s="110">
        <v>31</v>
      </c>
      <c r="Q25" s="111">
        <v>43</v>
      </c>
      <c r="R25" s="112">
        <v>43.56</v>
      </c>
      <c r="S25" s="110">
        <v>33</v>
      </c>
      <c r="T25" s="111">
        <v>43</v>
      </c>
      <c r="U25" s="112">
        <v>44.23</v>
      </c>
      <c r="V25" s="110">
        <v>33</v>
      </c>
      <c r="W25" s="111">
        <v>44</v>
      </c>
      <c r="X25" s="112">
        <v>44.23</v>
      </c>
      <c r="Y25" s="110">
        <v>27</v>
      </c>
      <c r="Z25" s="111">
        <v>42</v>
      </c>
      <c r="AA25" s="112">
        <v>42.27</v>
      </c>
      <c r="AB25" s="110">
        <v>31</v>
      </c>
      <c r="AC25" s="111">
        <v>44</v>
      </c>
      <c r="AD25" s="112">
        <v>43.56</v>
      </c>
    </row>
    <row r="26" spans="1:30">
      <c r="A26" s="110">
        <v>26</v>
      </c>
      <c r="B26" s="111">
        <v>43</v>
      </c>
      <c r="C26" s="112">
        <v>41.93</v>
      </c>
      <c r="D26" s="110">
        <v>37</v>
      </c>
      <c r="E26" s="111">
        <v>45</v>
      </c>
      <c r="F26" s="112">
        <v>45.69</v>
      </c>
      <c r="G26" s="110">
        <v>26</v>
      </c>
      <c r="H26" s="111">
        <v>41</v>
      </c>
      <c r="I26" s="112">
        <v>41.93</v>
      </c>
      <c r="J26" s="110">
        <v>33</v>
      </c>
      <c r="K26" s="111">
        <v>45</v>
      </c>
      <c r="L26" s="112">
        <v>44.23</v>
      </c>
      <c r="M26" s="110">
        <v>27</v>
      </c>
      <c r="N26" s="111">
        <v>43</v>
      </c>
      <c r="O26" s="112">
        <v>42.27</v>
      </c>
      <c r="P26" s="110">
        <v>28</v>
      </c>
      <c r="Q26" s="111">
        <v>42</v>
      </c>
      <c r="R26" s="112">
        <v>42.63</v>
      </c>
      <c r="S26" s="110">
        <v>29</v>
      </c>
      <c r="T26" s="111">
        <v>42</v>
      </c>
      <c r="U26" s="112">
        <v>42.96</v>
      </c>
      <c r="V26" s="110">
        <v>30</v>
      </c>
      <c r="W26" s="111">
        <v>43</v>
      </c>
      <c r="X26" s="112">
        <v>43.25</v>
      </c>
      <c r="Y26" s="110">
        <v>24</v>
      </c>
      <c r="Z26" s="111">
        <v>41</v>
      </c>
      <c r="AA26" s="112">
        <v>41.24</v>
      </c>
      <c r="AB26" s="110">
        <v>28</v>
      </c>
      <c r="AC26" s="111">
        <v>43</v>
      </c>
      <c r="AD26" s="112">
        <v>42.63</v>
      </c>
    </row>
    <row r="27" spans="1:30">
      <c r="A27" s="110">
        <v>23</v>
      </c>
      <c r="B27" s="111">
        <v>42</v>
      </c>
      <c r="C27" s="112">
        <v>40.9</v>
      </c>
      <c r="D27" s="110">
        <v>34</v>
      </c>
      <c r="E27" s="111">
        <v>44</v>
      </c>
      <c r="F27" s="112">
        <v>44.6</v>
      </c>
      <c r="G27" s="110">
        <v>22</v>
      </c>
      <c r="H27" s="111">
        <v>40</v>
      </c>
      <c r="I27" s="112">
        <v>40.54</v>
      </c>
      <c r="J27" s="110">
        <v>29</v>
      </c>
      <c r="K27" s="111">
        <v>44</v>
      </c>
      <c r="L27" s="112">
        <v>42.96</v>
      </c>
      <c r="M27" s="110">
        <v>25</v>
      </c>
      <c r="N27" s="111">
        <v>42</v>
      </c>
      <c r="O27" s="112">
        <v>41.59</v>
      </c>
      <c r="P27" s="110">
        <v>24</v>
      </c>
      <c r="Q27" s="111">
        <v>41</v>
      </c>
      <c r="R27" s="112">
        <v>41.24</v>
      </c>
      <c r="S27" s="110">
        <v>25</v>
      </c>
      <c r="T27" s="111">
        <v>41</v>
      </c>
      <c r="U27" s="112">
        <v>41.59</v>
      </c>
      <c r="V27" s="110">
        <v>26</v>
      </c>
      <c r="W27" s="111">
        <v>42</v>
      </c>
      <c r="X27" s="112">
        <v>41.93</v>
      </c>
      <c r="Y27" s="110">
        <v>20</v>
      </c>
      <c r="Z27" s="111">
        <v>40</v>
      </c>
      <c r="AA27" s="112">
        <v>39.840000000000003</v>
      </c>
      <c r="AB27" s="110">
        <v>26</v>
      </c>
      <c r="AC27" s="111">
        <v>42</v>
      </c>
      <c r="AD27" s="112">
        <v>41.93</v>
      </c>
    </row>
    <row r="28" spans="1:30">
      <c r="A28" s="110">
        <v>21</v>
      </c>
      <c r="B28" s="111">
        <v>41</v>
      </c>
      <c r="C28" s="112">
        <v>40.18</v>
      </c>
      <c r="D28" s="110">
        <v>31</v>
      </c>
      <c r="E28" s="111">
        <v>43</v>
      </c>
      <c r="F28" s="112">
        <v>43.56</v>
      </c>
      <c r="G28" s="110">
        <v>19</v>
      </c>
      <c r="H28" s="111">
        <v>39</v>
      </c>
      <c r="I28" s="112">
        <v>39.49</v>
      </c>
      <c r="J28" s="110">
        <v>27</v>
      </c>
      <c r="K28" s="111">
        <v>43</v>
      </c>
      <c r="L28" s="112">
        <v>42.27</v>
      </c>
      <c r="M28" s="110">
        <v>23</v>
      </c>
      <c r="N28" s="111">
        <v>41</v>
      </c>
      <c r="O28" s="112">
        <v>40.9</v>
      </c>
      <c r="P28" s="110">
        <v>22</v>
      </c>
      <c r="Q28" s="111">
        <v>40</v>
      </c>
      <c r="R28" s="112">
        <v>40.54</v>
      </c>
      <c r="S28" s="110">
        <v>21</v>
      </c>
      <c r="T28" s="111">
        <v>40</v>
      </c>
      <c r="U28" s="112">
        <v>40.18</v>
      </c>
      <c r="V28" s="110">
        <v>24</v>
      </c>
      <c r="W28" s="111">
        <v>41</v>
      </c>
      <c r="X28" s="112">
        <v>41.24</v>
      </c>
      <c r="Y28" s="110">
        <v>18</v>
      </c>
      <c r="Z28" s="111">
        <v>39</v>
      </c>
      <c r="AA28" s="112">
        <v>39.130000000000003</v>
      </c>
      <c r="AB28" s="110">
        <v>24</v>
      </c>
      <c r="AC28" s="111">
        <v>41</v>
      </c>
      <c r="AD28" s="112">
        <v>41.24</v>
      </c>
    </row>
    <row r="29" spans="1:30">
      <c r="A29" s="110">
        <v>19</v>
      </c>
      <c r="B29" s="111">
        <v>40</v>
      </c>
      <c r="C29" s="112">
        <v>39.49</v>
      </c>
      <c r="D29" s="110">
        <v>27</v>
      </c>
      <c r="E29" s="111">
        <v>42</v>
      </c>
      <c r="F29" s="112">
        <v>42.27</v>
      </c>
      <c r="G29" s="110">
        <v>15</v>
      </c>
      <c r="H29" s="111">
        <v>38</v>
      </c>
      <c r="I29" s="112">
        <v>38.04</v>
      </c>
      <c r="J29" s="110">
        <v>24</v>
      </c>
      <c r="K29" s="111">
        <v>42</v>
      </c>
      <c r="L29" s="112">
        <v>41.24</v>
      </c>
      <c r="M29" s="110">
        <v>21</v>
      </c>
      <c r="N29" s="111">
        <v>40</v>
      </c>
      <c r="O29" s="112">
        <v>40.18</v>
      </c>
      <c r="P29" s="110">
        <v>18</v>
      </c>
      <c r="Q29" s="111">
        <v>39</v>
      </c>
      <c r="R29" s="112">
        <v>39.130000000000003</v>
      </c>
      <c r="S29" s="110">
        <v>17</v>
      </c>
      <c r="T29" s="111">
        <v>39</v>
      </c>
      <c r="U29" s="112">
        <v>38.75</v>
      </c>
      <c r="V29" s="110">
        <v>21</v>
      </c>
      <c r="W29" s="111">
        <v>40</v>
      </c>
      <c r="X29" s="112">
        <v>40.18</v>
      </c>
      <c r="Y29" s="110">
        <v>16</v>
      </c>
      <c r="Z29" s="111">
        <v>38</v>
      </c>
      <c r="AA29" s="112">
        <v>38.39</v>
      </c>
      <c r="AB29" s="110">
        <v>21</v>
      </c>
      <c r="AC29" s="111">
        <v>40</v>
      </c>
      <c r="AD29" s="112">
        <v>40.18</v>
      </c>
    </row>
    <row r="30" spans="1:30">
      <c r="A30" s="110">
        <v>17</v>
      </c>
      <c r="B30" s="111">
        <v>39</v>
      </c>
      <c r="C30" s="112">
        <v>38.75</v>
      </c>
      <c r="D30" s="110">
        <v>22</v>
      </c>
      <c r="E30" s="111">
        <v>41</v>
      </c>
      <c r="F30" s="112">
        <v>40.54</v>
      </c>
      <c r="G30" s="110">
        <v>11</v>
      </c>
      <c r="H30" s="111">
        <v>37</v>
      </c>
      <c r="I30" s="112">
        <v>36.590000000000003</v>
      </c>
      <c r="J30" s="110">
        <v>22</v>
      </c>
      <c r="K30" s="111">
        <v>41</v>
      </c>
      <c r="L30" s="112">
        <v>40.54</v>
      </c>
      <c r="M30" s="110">
        <v>18</v>
      </c>
      <c r="N30" s="111">
        <v>39</v>
      </c>
      <c r="O30" s="112">
        <v>39.130000000000003</v>
      </c>
      <c r="P30" s="110">
        <v>15</v>
      </c>
      <c r="Q30" s="111">
        <v>38</v>
      </c>
      <c r="R30" s="112">
        <v>38.04</v>
      </c>
      <c r="S30" s="110">
        <v>14</v>
      </c>
      <c r="T30" s="111">
        <v>38</v>
      </c>
      <c r="U30" s="112">
        <v>37.65</v>
      </c>
      <c r="V30" s="110">
        <v>18</v>
      </c>
      <c r="W30" s="111">
        <v>39</v>
      </c>
      <c r="X30" s="112">
        <v>39.130000000000003</v>
      </c>
      <c r="Y30" s="110">
        <v>13</v>
      </c>
      <c r="Z30" s="111">
        <v>37</v>
      </c>
      <c r="AA30" s="112">
        <v>37.28</v>
      </c>
      <c r="AB30" s="110">
        <v>18</v>
      </c>
      <c r="AC30" s="111">
        <v>39</v>
      </c>
      <c r="AD30" s="112">
        <v>39.130000000000003</v>
      </c>
    </row>
    <row r="31" spans="1:30">
      <c r="A31" s="110">
        <v>14</v>
      </c>
      <c r="B31" s="111">
        <v>38</v>
      </c>
      <c r="C31" s="112">
        <v>37.65</v>
      </c>
      <c r="D31" s="110">
        <v>19</v>
      </c>
      <c r="E31" s="111">
        <v>40</v>
      </c>
      <c r="F31" s="112">
        <v>39.49</v>
      </c>
      <c r="G31" s="110">
        <v>7</v>
      </c>
      <c r="H31" s="111">
        <v>36</v>
      </c>
      <c r="I31" s="112">
        <v>34.97</v>
      </c>
      <c r="J31" s="110">
        <v>20</v>
      </c>
      <c r="K31" s="111">
        <v>40</v>
      </c>
      <c r="L31" s="112">
        <v>39.840000000000003</v>
      </c>
      <c r="M31" s="110">
        <v>15</v>
      </c>
      <c r="N31" s="111">
        <v>38</v>
      </c>
      <c r="O31" s="112">
        <v>38.04</v>
      </c>
      <c r="P31" s="110">
        <v>13</v>
      </c>
      <c r="Q31" s="111">
        <v>37</v>
      </c>
      <c r="R31" s="112">
        <v>37.28</v>
      </c>
      <c r="S31" s="110">
        <v>10</v>
      </c>
      <c r="T31" s="111">
        <v>37</v>
      </c>
      <c r="U31" s="112">
        <v>36.159999999999997</v>
      </c>
      <c r="V31" s="110">
        <v>14</v>
      </c>
      <c r="W31" s="111">
        <v>38</v>
      </c>
      <c r="X31" s="112">
        <v>37.65</v>
      </c>
      <c r="Y31" s="110">
        <v>10</v>
      </c>
      <c r="Z31" s="111">
        <v>36</v>
      </c>
      <c r="AA31" s="112">
        <v>36.159999999999997</v>
      </c>
      <c r="AB31" s="110">
        <v>16</v>
      </c>
      <c r="AC31" s="111">
        <v>38</v>
      </c>
      <c r="AD31" s="112">
        <v>38.39</v>
      </c>
    </row>
    <row r="32" spans="1:30">
      <c r="A32" s="110">
        <v>11</v>
      </c>
      <c r="B32" s="111">
        <v>37</v>
      </c>
      <c r="C32" s="112">
        <v>36.590000000000003</v>
      </c>
      <c r="D32" s="110">
        <v>17</v>
      </c>
      <c r="E32" s="111">
        <v>39</v>
      </c>
      <c r="F32" s="112">
        <v>38.75</v>
      </c>
      <c r="G32" s="110">
        <v>4</v>
      </c>
      <c r="H32" s="111">
        <v>35</v>
      </c>
      <c r="I32" s="112">
        <v>33.35</v>
      </c>
      <c r="J32" s="110">
        <v>17</v>
      </c>
      <c r="K32" s="111">
        <v>39</v>
      </c>
      <c r="L32" s="112">
        <v>38.75</v>
      </c>
      <c r="M32" s="110">
        <v>13</v>
      </c>
      <c r="N32" s="111">
        <v>37</v>
      </c>
      <c r="O32" s="112">
        <v>37.28</v>
      </c>
      <c r="P32" s="110">
        <v>11</v>
      </c>
      <c r="Q32" s="111">
        <v>36</v>
      </c>
      <c r="R32" s="112">
        <v>36.590000000000003</v>
      </c>
      <c r="S32" s="110">
        <v>6</v>
      </c>
      <c r="T32" s="111">
        <v>36</v>
      </c>
      <c r="U32" s="112">
        <v>34.46</v>
      </c>
      <c r="V32" s="110">
        <v>12</v>
      </c>
      <c r="W32" s="111">
        <v>37</v>
      </c>
      <c r="X32" s="112">
        <v>36.92</v>
      </c>
      <c r="Y32" s="110">
        <v>8</v>
      </c>
      <c r="Z32" s="111">
        <v>35</v>
      </c>
      <c r="AA32" s="112">
        <v>35.43</v>
      </c>
      <c r="AB32" s="110">
        <v>14</v>
      </c>
      <c r="AC32" s="111">
        <v>37</v>
      </c>
      <c r="AD32" s="112">
        <v>37.65</v>
      </c>
    </row>
    <row r="33" spans="1:30">
      <c r="A33" s="110">
        <v>10</v>
      </c>
      <c r="B33" s="111">
        <v>36</v>
      </c>
      <c r="C33" s="112">
        <v>36.159999999999997</v>
      </c>
      <c r="D33" s="110">
        <v>14</v>
      </c>
      <c r="E33" s="111">
        <v>38</v>
      </c>
      <c r="F33" s="112">
        <v>37.65</v>
      </c>
      <c r="G33" s="110">
        <v>2</v>
      </c>
      <c r="H33" s="111">
        <v>34</v>
      </c>
      <c r="I33" s="112">
        <v>31.6</v>
      </c>
      <c r="J33" s="110">
        <v>15</v>
      </c>
      <c r="K33" s="111">
        <v>38</v>
      </c>
      <c r="L33" s="112">
        <v>38.04</v>
      </c>
      <c r="M33" s="110">
        <v>11</v>
      </c>
      <c r="N33" s="111">
        <v>36</v>
      </c>
      <c r="O33" s="112">
        <v>36.590000000000003</v>
      </c>
      <c r="P33" s="110">
        <v>7</v>
      </c>
      <c r="Q33" s="111">
        <v>35</v>
      </c>
      <c r="R33" s="112">
        <v>34.97</v>
      </c>
      <c r="S33" s="110">
        <v>4</v>
      </c>
      <c r="T33" s="111">
        <v>35</v>
      </c>
      <c r="U33" s="112">
        <v>33.35</v>
      </c>
      <c r="V33" s="110">
        <v>8</v>
      </c>
      <c r="W33" s="111">
        <v>36</v>
      </c>
      <c r="X33" s="112">
        <v>35.43</v>
      </c>
      <c r="Y33" s="110">
        <v>6</v>
      </c>
      <c r="Z33" s="111">
        <v>34</v>
      </c>
      <c r="AA33" s="112">
        <v>34.46</v>
      </c>
      <c r="AB33" s="110">
        <v>11</v>
      </c>
      <c r="AC33" s="111">
        <v>36</v>
      </c>
      <c r="AD33" s="112">
        <v>36.590000000000003</v>
      </c>
    </row>
    <row r="34" spans="1:30">
      <c r="A34" s="110">
        <v>8</v>
      </c>
      <c r="B34" s="111">
        <v>35</v>
      </c>
      <c r="C34" s="112">
        <v>35.43</v>
      </c>
      <c r="D34" s="110">
        <v>10</v>
      </c>
      <c r="E34" s="111">
        <v>37</v>
      </c>
      <c r="F34" s="112">
        <v>36.159999999999997</v>
      </c>
      <c r="G34" s="110">
        <v>1</v>
      </c>
      <c r="H34" s="111">
        <v>33</v>
      </c>
      <c r="I34" s="112">
        <v>30.5</v>
      </c>
      <c r="J34" s="110">
        <v>13</v>
      </c>
      <c r="K34" s="111">
        <v>37</v>
      </c>
      <c r="L34" s="112">
        <v>37.28</v>
      </c>
      <c r="M34" s="110">
        <v>10</v>
      </c>
      <c r="N34" s="111">
        <v>35</v>
      </c>
      <c r="O34" s="112">
        <v>36.159999999999997</v>
      </c>
      <c r="P34" s="110">
        <v>5</v>
      </c>
      <c r="Q34" s="111">
        <v>34</v>
      </c>
      <c r="R34" s="112">
        <v>33.93</v>
      </c>
      <c r="S34" s="110">
        <v>2</v>
      </c>
      <c r="T34" s="111">
        <v>34</v>
      </c>
      <c r="U34" s="112">
        <v>31.6</v>
      </c>
      <c r="V34" s="110">
        <v>6</v>
      </c>
      <c r="W34" s="111">
        <v>35</v>
      </c>
      <c r="X34" s="112">
        <v>34.46</v>
      </c>
      <c r="Y34" s="110">
        <v>4</v>
      </c>
      <c r="Z34" s="111">
        <v>33</v>
      </c>
      <c r="AA34" s="112">
        <v>33.35</v>
      </c>
      <c r="AB34" s="110">
        <v>8</v>
      </c>
      <c r="AC34" s="111">
        <v>35</v>
      </c>
      <c r="AD34" s="112">
        <v>35.43</v>
      </c>
    </row>
    <row r="35" spans="1:30">
      <c r="A35" s="110">
        <v>7</v>
      </c>
      <c r="B35" s="111">
        <v>34</v>
      </c>
      <c r="C35" s="112">
        <v>34.97</v>
      </c>
      <c r="D35" s="110">
        <v>7</v>
      </c>
      <c r="E35" s="111">
        <v>36</v>
      </c>
      <c r="F35" s="112">
        <v>34.97</v>
      </c>
      <c r="G35" s="110">
        <v>1</v>
      </c>
      <c r="H35" s="111">
        <v>32</v>
      </c>
      <c r="I35" s="112">
        <v>29.7</v>
      </c>
      <c r="J35" s="110">
        <v>10</v>
      </c>
      <c r="K35" s="111">
        <v>36</v>
      </c>
      <c r="L35" s="112">
        <v>36.159999999999997</v>
      </c>
      <c r="M35" s="110">
        <v>8</v>
      </c>
      <c r="N35" s="111">
        <v>34</v>
      </c>
      <c r="O35" s="112">
        <v>35.43</v>
      </c>
      <c r="P35" s="110">
        <v>3</v>
      </c>
      <c r="Q35" s="111">
        <v>33</v>
      </c>
      <c r="R35" s="112">
        <v>32.450000000000003</v>
      </c>
      <c r="S35" s="110">
        <v>1</v>
      </c>
      <c r="T35" s="111">
        <v>33</v>
      </c>
      <c r="U35" s="112">
        <v>30.5</v>
      </c>
      <c r="V35" s="110">
        <v>4</v>
      </c>
      <c r="W35" s="111">
        <v>34</v>
      </c>
      <c r="X35" s="112">
        <v>33.35</v>
      </c>
      <c r="Y35" s="110">
        <v>3</v>
      </c>
      <c r="Z35" s="111">
        <v>32</v>
      </c>
      <c r="AA35" s="112">
        <v>32.450000000000003</v>
      </c>
      <c r="AB35" s="110">
        <v>6</v>
      </c>
      <c r="AC35" s="111">
        <v>34</v>
      </c>
      <c r="AD35" s="112">
        <v>34.46</v>
      </c>
    </row>
    <row r="36" spans="1:30" ht="17.25" thickBot="1">
      <c r="A36" s="110">
        <v>6</v>
      </c>
      <c r="B36" s="111">
        <v>33</v>
      </c>
      <c r="C36" s="112">
        <v>34.46</v>
      </c>
      <c r="D36" s="110">
        <v>5</v>
      </c>
      <c r="E36" s="111">
        <v>35</v>
      </c>
      <c r="F36" s="112">
        <v>33.93</v>
      </c>
      <c r="G36" s="113">
        <v>0</v>
      </c>
      <c r="H36" s="114" t="s">
        <v>241</v>
      </c>
      <c r="I36" s="115">
        <v>28.9</v>
      </c>
      <c r="J36" s="110">
        <v>8</v>
      </c>
      <c r="K36" s="111">
        <v>35</v>
      </c>
      <c r="L36" s="112">
        <v>35.43</v>
      </c>
      <c r="M36" s="110">
        <v>6</v>
      </c>
      <c r="N36" s="111">
        <v>33</v>
      </c>
      <c r="O36" s="112">
        <v>34.46</v>
      </c>
      <c r="P36" s="110">
        <v>2</v>
      </c>
      <c r="Q36" s="111">
        <v>32</v>
      </c>
      <c r="R36" s="112">
        <v>31.6</v>
      </c>
      <c r="S36" s="113">
        <v>0</v>
      </c>
      <c r="T36" s="114" t="s">
        <v>242</v>
      </c>
      <c r="U36" s="115">
        <v>28.9</v>
      </c>
      <c r="V36" s="110">
        <v>3</v>
      </c>
      <c r="W36" s="111">
        <v>33</v>
      </c>
      <c r="X36" s="112">
        <v>32.450000000000003</v>
      </c>
      <c r="Y36" s="110">
        <v>2</v>
      </c>
      <c r="Z36" s="111">
        <v>31</v>
      </c>
      <c r="AA36" s="112">
        <v>31.6</v>
      </c>
      <c r="AB36" s="110">
        <v>4</v>
      </c>
      <c r="AC36" s="111">
        <v>33</v>
      </c>
      <c r="AD36" s="112">
        <v>33.35</v>
      </c>
    </row>
    <row r="37" spans="1:30">
      <c r="A37" s="110">
        <v>4</v>
      </c>
      <c r="B37" s="111">
        <v>32</v>
      </c>
      <c r="C37" s="112">
        <v>33.35</v>
      </c>
      <c r="D37" s="110">
        <v>4</v>
      </c>
      <c r="E37" s="111">
        <v>34</v>
      </c>
      <c r="F37" s="112">
        <v>33.35</v>
      </c>
      <c r="G37" s="116">
        <v>0</v>
      </c>
      <c r="H37" s="116">
        <v>0</v>
      </c>
      <c r="I37" s="116">
        <v>0</v>
      </c>
      <c r="J37" s="110">
        <v>6</v>
      </c>
      <c r="K37" s="111">
        <v>34</v>
      </c>
      <c r="L37" s="112">
        <v>34.46</v>
      </c>
      <c r="M37" s="110">
        <v>4</v>
      </c>
      <c r="N37" s="111">
        <v>32</v>
      </c>
      <c r="O37" s="112">
        <v>33.35</v>
      </c>
      <c r="P37" s="110">
        <v>1</v>
      </c>
      <c r="Q37" s="111">
        <v>31</v>
      </c>
      <c r="R37" s="112">
        <v>30.5</v>
      </c>
      <c r="S37" s="116">
        <v>0</v>
      </c>
      <c r="T37" s="116">
        <v>0</v>
      </c>
      <c r="U37" s="116">
        <v>0</v>
      </c>
      <c r="V37" s="110">
        <v>2</v>
      </c>
      <c r="W37" s="111">
        <v>32</v>
      </c>
      <c r="X37" s="112">
        <v>31.6</v>
      </c>
      <c r="Y37" s="110">
        <v>1</v>
      </c>
      <c r="Z37" s="111">
        <v>30</v>
      </c>
      <c r="AA37" s="112">
        <v>30.5</v>
      </c>
      <c r="AB37" s="110">
        <v>2</v>
      </c>
      <c r="AC37" s="111">
        <v>32</v>
      </c>
      <c r="AD37" s="112">
        <v>31.6</v>
      </c>
    </row>
    <row r="38" spans="1:30">
      <c r="A38" s="110">
        <v>4</v>
      </c>
      <c r="B38" s="111">
        <v>31</v>
      </c>
      <c r="C38" s="112">
        <v>32.9</v>
      </c>
      <c r="D38" s="110">
        <v>3</v>
      </c>
      <c r="E38" s="111">
        <v>33</v>
      </c>
      <c r="F38" s="112">
        <v>32.450000000000003</v>
      </c>
      <c r="G38" s="117"/>
      <c r="H38" s="118"/>
      <c r="I38" s="119"/>
      <c r="J38" s="110">
        <v>5</v>
      </c>
      <c r="K38" s="111">
        <v>33</v>
      </c>
      <c r="L38" s="112">
        <v>33.93</v>
      </c>
      <c r="M38" s="110">
        <v>3</v>
      </c>
      <c r="N38" s="111">
        <v>31</v>
      </c>
      <c r="O38" s="112">
        <v>32.450000000000003</v>
      </c>
      <c r="P38" s="110">
        <v>1</v>
      </c>
      <c r="Q38" s="111">
        <v>30</v>
      </c>
      <c r="R38" s="112">
        <v>29.7</v>
      </c>
      <c r="S38" s="117"/>
      <c r="T38" s="118"/>
      <c r="U38" s="119"/>
      <c r="V38" s="110">
        <v>1</v>
      </c>
      <c r="W38" s="111">
        <v>31</v>
      </c>
      <c r="X38" s="112">
        <v>30.5</v>
      </c>
      <c r="Y38" s="110">
        <v>1</v>
      </c>
      <c r="Z38" s="111">
        <v>29</v>
      </c>
      <c r="AA38" s="112">
        <v>29.7</v>
      </c>
      <c r="AB38" s="110">
        <v>1</v>
      </c>
      <c r="AC38" s="111">
        <v>31</v>
      </c>
      <c r="AD38" s="112">
        <v>30.5</v>
      </c>
    </row>
    <row r="39" spans="1:30" ht="17.25" thickBot="1">
      <c r="A39" s="110">
        <v>3</v>
      </c>
      <c r="B39" s="111">
        <v>30</v>
      </c>
      <c r="C39" s="112">
        <v>32.450000000000003</v>
      </c>
      <c r="D39" s="110">
        <v>2</v>
      </c>
      <c r="E39" s="111">
        <v>32</v>
      </c>
      <c r="F39" s="112">
        <v>31.6</v>
      </c>
      <c r="G39" s="117"/>
      <c r="H39" s="118"/>
      <c r="I39" s="119"/>
      <c r="J39" s="110">
        <v>4</v>
      </c>
      <c r="K39" s="111">
        <v>32</v>
      </c>
      <c r="L39" s="112">
        <v>33.35</v>
      </c>
      <c r="M39" s="110">
        <v>2</v>
      </c>
      <c r="N39" s="111">
        <v>30</v>
      </c>
      <c r="O39" s="112">
        <v>31.6</v>
      </c>
      <c r="P39" s="113">
        <v>0</v>
      </c>
      <c r="Q39" s="114" t="s">
        <v>243</v>
      </c>
      <c r="R39" s="115">
        <v>28.9</v>
      </c>
      <c r="S39" s="117"/>
      <c r="T39" s="118"/>
      <c r="U39" s="119"/>
      <c r="V39" s="113">
        <v>0</v>
      </c>
      <c r="W39" s="114" t="s">
        <v>244</v>
      </c>
      <c r="X39" s="115">
        <v>28.9</v>
      </c>
      <c r="Y39" s="113">
        <v>0</v>
      </c>
      <c r="Z39" s="114" t="s">
        <v>245</v>
      </c>
      <c r="AA39" s="115">
        <v>28.9</v>
      </c>
      <c r="AB39" s="110">
        <v>1</v>
      </c>
      <c r="AC39" s="111">
        <v>30</v>
      </c>
      <c r="AD39" s="112">
        <v>29.7</v>
      </c>
    </row>
    <row r="40" spans="1:30" ht="17.25" thickBot="1">
      <c r="A40" s="110">
        <v>2</v>
      </c>
      <c r="B40" s="111">
        <v>29</v>
      </c>
      <c r="C40" s="112">
        <v>31.6</v>
      </c>
      <c r="D40" s="110">
        <v>1</v>
      </c>
      <c r="E40" s="111">
        <v>31</v>
      </c>
      <c r="F40" s="112">
        <v>30.5</v>
      </c>
      <c r="G40" s="117"/>
      <c r="H40" s="118"/>
      <c r="I40" s="119"/>
      <c r="J40" s="110">
        <v>3</v>
      </c>
      <c r="K40" s="111">
        <v>31</v>
      </c>
      <c r="L40" s="112">
        <v>32.450000000000003</v>
      </c>
      <c r="M40" s="110">
        <v>2</v>
      </c>
      <c r="N40" s="111">
        <v>29</v>
      </c>
      <c r="O40" s="112">
        <v>31.05</v>
      </c>
      <c r="P40" s="116">
        <v>0</v>
      </c>
      <c r="Q40" s="116">
        <v>0</v>
      </c>
      <c r="R40" s="116">
        <v>0</v>
      </c>
      <c r="S40" s="118"/>
      <c r="T40" s="118"/>
      <c r="U40" s="118"/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3">
        <v>0</v>
      </c>
      <c r="AC40" s="114" t="s">
        <v>246</v>
      </c>
      <c r="AD40" s="115">
        <v>28.9</v>
      </c>
    </row>
    <row r="41" spans="1:30" ht="17.25" thickBot="1">
      <c r="A41" s="110">
        <v>1</v>
      </c>
      <c r="B41" s="111">
        <v>28</v>
      </c>
      <c r="C41" s="112">
        <v>30.5</v>
      </c>
      <c r="D41" s="113">
        <v>0</v>
      </c>
      <c r="E41" s="114" t="s">
        <v>244</v>
      </c>
      <c r="F41" s="115">
        <v>28.9</v>
      </c>
      <c r="G41" s="117"/>
      <c r="H41" s="118"/>
      <c r="I41" s="119"/>
      <c r="J41" s="110">
        <v>2</v>
      </c>
      <c r="K41" s="111">
        <v>30</v>
      </c>
      <c r="L41" s="112">
        <v>31.6</v>
      </c>
      <c r="M41" s="110">
        <v>1</v>
      </c>
      <c r="N41" s="111">
        <v>28</v>
      </c>
      <c r="O41" s="112">
        <v>30.5</v>
      </c>
      <c r="P41" s="117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6">
        <v>0</v>
      </c>
      <c r="AC41" s="116">
        <v>0</v>
      </c>
      <c r="AD41" s="116">
        <v>0</v>
      </c>
    </row>
    <row r="42" spans="1:30" ht="17.25" thickBot="1">
      <c r="A42" s="110">
        <v>1</v>
      </c>
      <c r="B42" s="111">
        <v>27</v>
      </c>
      <c r="C42" s="112">
        <v>29.7</v>
      </c>
      <c r="D42" s="116">
        <v>0</v>
      </c>
      <c r="E42" s="116">
        <v>0</v>
      </c>
      <c r="F42" s="116">
        <v>0</v>
      </c>
      <c r="G42" s="118"/>
      <c r="H42" s="118"/>
      <c r="I42" s="119"/>
      <c r="J42" s="110">
        <v>1</v>
      </c>
      <c r="K42" s="111">
        <v>29</v>
      </c>
      <c r="L42" s="112">
        <v>30.5</v>
      </c>
      <c r="M42" s="113">
        <v>0</v>
      </c>
      <c r="N42" s="114" t="s">
        <v>247</v>
      </c>
      <c r="O42" s="115">
        <v>28.9</v>
      </c>
      <c r="P42" s="117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9"/>
    </row>
    <row r="43" spans="1:30" ht="17.25" thickBot="1">
      <c r="A43" s="113">
        <v>0</v>
      </c>
      <c r="B43" s="114" t="s">
        <v>248</v>
      </c>
      <c r="C43" s="115">
        <v>28.9</v>
      </c>
      <c r="D43" s="117"/>
      <c r="E43" s="118"/>
      <c r="F43" s="118"/>
      <c r="G43" s="118"/>
      <c r="H43" s="118"/>
      <c r="I43" s="119"/>
      <c r="J43" s="110">
        <v>1</v>
      </c>
      <c r="K43" s="111">
        <v>28</v>
      </c>
      <c r="L43" s="112">
        <v>29.7</v>
      </c>
      <c r="M43" s="116">
        <v>0</v>
      </c>
      <c r="N43" s="116">
        <v>0</v>
      </c>
      <c r="O43" s="116">
        <v>0</v>
      </c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</row>
    <row r="44" spans="1:30" ht="17.25" thickBot="1">
      <c r="A44" s="116">
        <v>0</v>
      </c>
      <c r="B44" s="116">
        <v>0</v>
      </c>
      <c r="C44" s="116">
        <v>0</v>
      </c>
      <c r="D44" s="118"/>
      <c r="E44" s="118"/>
      <c r="F44" s="118"/>
      <c r="G44" s="118"/>
      <c r="H44" s="118"/>
      <c r="I44" s="119"/>
      <c r="J44" s="113">
        <v>0</v>
      </c>
      <c r="K44" s="114" t="s">
        <v>247</v>
      </c>
      <c r="L44" s="115">
        <v>28.9</v>
      </c>
      <c r="M44" s="117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</row>
    <row r="45" spans="1:30">
      <c r="J45" s="116">
        <v>0</v>
      </c>
      <c r="K45" s="116">
        <v>0</v>
      </c>
      <c r="L45" s="116">
        <v>0</v>
      </c>
    </row>
  </sheetData>
  <sheetProtection algorithmName="SHA-512" hashValue="SrampjthryOWBud0RTC7J/3jerC7Nbh6ByNQ0tIBCSDkhYpitRRCBaCCQUiZfUIpxfqZDpOi4Ba2O3apUCtxTA==" saltValue="rEq8TVUtiHKWQekYrNX8aw==" spinCount="100000" sheet="1" objects="1" scenarios="1" selectLockedCells="1" selectUnlockedCells="1"/>
  <mergeCells count="10">
    <mergeCell ref="S1:U1"/>
    <mergeCell ref="V1:X1"/>
    <mergeCell ref="Y1:AA1"/>
    <mergeCell ref="AB1:AD1"/>
    <mergeCell ref="A1:C1"/>
    <mergeCell ref="D1:F1"/>
    <mergeCell ref="G1:I1"/>
    <mergeCell ref="J1:L1"/>
    <mergeCell ref="M1:O1"/>
    <mergeCell ref="P1:R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6"/>
  <sheetViews>
    <sheetView topLeftCell="T1" workbookViewId="0">
      <selection activeCell="AI2" sqref="AI2"/>
    </sheetView>
  </sheetViews>
  <sheetFormatPr defaultRowHeight="16.5"/>
  <sheetData>
    <row r="1" spans="1:37" ht="17.25" thickBot="1">
      <c r="A1" s="289" t="s">
        <v>228</v>
      </c>
      <c r="B1" s="290"/>
      <c r="C1" s="291"/>
      <c r="D1" s="289" t="s">
        <v>229</v>
      </c>
      <c r="E1" s="290"/>
      <c r="F1" s="291"/>
      <c r="G1" s="289" t="s">
        <v>230</v>
      </c>
      <c r="H1" s="290"/>
      <c r="I1" s="291"/>
      <c r="J1" s="289" t="s">
        <v>231</v>
      </c>
      <c r="K1" s="290"/>
      <c r="L1" s="291"/>
      <c r="M1" s="289" t="s">
        <v>232</v>
      </c>
      <c r="N1" s="290"/>
      <c r="O1" s="291"/>
      <c r="P1" s="289" t="s">
        <v>233</v>
      </c>
      <c r="Q1" s="290"/>
      <c r="R1" s="291"/>
      <c r="S1" s="289" t="s">
        <v>234</v>
      </c>
      <c r="T1" s="290"/>
      <c r="U1" s="291"/>
      <c r="V1" s="289" t="s">
        <v>235</v>
      </c>
      <c r="W1" s="290"/>
      <c r="X1" s="291"/>
      <c r="Y1" s="289" t="s">
        <v>236</v>
      </c>
      <c r="Z1" s="290"/>
      <c r="AA1" s="291"/>
      <c r="AB1" s="289" t="s">
        <v>237</v>
      </c>
      <c r="AC1" s="290"/>
      <c r="AD1" s="291"/>
      <c r="AF1" s="293" t="s">
        <v>255</v>
      </c>
      <c r="AG1" s="293"/>
      <c r="AH1" s="293"/>
      <c r="AI1" s="292" t="s">
        <v>256</v>
      </c>
      <c r="AJ1" s="293"/>
      <c r="AK1" s="293"/>
    </row>
    <row r="2" spans="1:37" ht="17.25" thickBot="1">
      <c r="A2" s="107" t="s">
        <v>238</v>
      </c>
      <c r="B2" s="108" t="s">
        <v>239</v>
      </c>
      <c r="C2" s="109" t="s">
        <v>240</v>
      </c>
      <c r="D2" s="107" t="s">
        <v>238</v>
      </c>
      <c r="E2" s="108" t="s">
        <v>239</v>
      </c>
      <c r="F2" s="109" t="s">
        <v>240</v>
      </c>
      <c r="G2" s="107" t="s">
        <v>238</v>
      </c>
      <c r="H2" s="108" t="s">
        <v>239</v>
      </c>
      <c r="I2" s="109" t="s">
        <v>240</v>
      </c>
      <c r="J2" s="107" t="s">
        <v>238</v>
      </c>
      <c r="K2" s="108" t="s">
        <v>239</v>
      </c>
      <c r="L2" s="109" t="s">
        <v>240</v>
      </c>
      <c r="M2" s="107" t="s">
        <v>238</v>
      </c>
      <c r="N2" s="108" t="s">
        <v>239</v>
      </c>
      <c r="O2" s="109" t="s">
        <v>240</v>
      </c>
      <c r="P2" s="107" t="s">
        <v>238</v>
      </c>
      <c r="Q2" s="108" t="s">
        <v>239</v>
      </c>
      <c r="R2" s="109" t="s">
        <v>240</v>
      </c>
      <c r="S2" s="107" t="s">
        <v>238</v>
      </c>
      <c r="T2" s="108" t="s">
        <v>239</v>
      </c>
      <c r="U2" s="109" t="s">
        <v>240</v>
      </c>
      <c r="V2" s="107" t="s">
        <v>238</v>
      </c>
      <c r="W2" s="108" t="s">
        <v>239</v>
      </c>
      <c r="X2" s="109" t="s">
        <v>240</v>
      </c>
      <c r="Y2" s="107" t="s">
        <v>238</v>
      </c>
      <c r="Z2" s="108" t="s">
        <v>239</v>
      </c>
      <c r="AA2" s="109" t="s">
        <v>240</v>
      </c>
      <c r="AB2" s="107" t="s">
        <v>238</v>
      </c>
      <c r="AC2" s="108" t="s">
        <v>239</v>
      </c>
      <c r="AD2" s="109" t="s">
        <v>240</v>
      </c>
      <c r="AF2" s="120" t="s">
        <v>238</v>
      </c>
      <c r="AG2" s="121" t="s">
        <v>239</v>
      </c>
      <c r="AH2" s="109" t="s">
        <v>240</v>
      </c>
      <c r="AI2" s="122" t="s">
        <v>238</v>
      </c>
      <c r="AJ2" s="123" t="s">
        <v>239</v>
      </c>
      <c r="AK2" s="109" t="s">
        <v>240</v>
      </c>
    </row>
    <row r="3" spans="1:37">
      <c r="A3" s="110">
        <v>98</v>
      </c>
      <c r="B3" s="111">
        <v>67</v>
      </c>
      <c r="C3" s="112">
        <v>67.25</v>
      </c>
      <c r="D3" s="110">
        <v>99</v>
      </c>
      <c r="E3" s="111">
        <v>69</v>
      </c>
      <c r="F3" s="112">
        <v>68.5</v>
      </c>
      <c r="G3" s="110">
        <v>96</v>
      </c>
      <c r="H3" s="111">
        <v>64</v>
      </c>
      <c r="I3" s="112">
        <v>65.83</v>
      </c>
      <c r="J3" s="110">
        <v>100</v>
      </c>
      <c r="K3" s="111">
        <v>69</v>
      </c>
      <c r="L3" s="112">
        <v>69.62</v>
      </c>
      <c r="M3" s="110">
        <v>99</v>
      </c>
      <c r="N3" s="111">
        <v>66</v>
      </c>
      <c r="O3" s="112">
        <v>68.5</v>
      </c>
      <c r="P3" s="110">
        <v>98</v>
      </c>
      <c r="Q3" s="111">
        <v>66</v>
      </c>
      <c r="R3" s="112">
        <v>67.25</v>
      </c>
      <c r="S3" s="110">
        <v>97</v>
      </c>
      <c r="T3" s="111">
        <v>66</v>
      </c>
      <c r="U3" s="112">
        <v>66.459999999999994</v>
      </c>
      <c r="V3" s="110">
        <v>98</v>
      </c>
      <c r="W3" s="111">
        <v>67</v>
      </c>
      <c r="X3" s="112">
        <v>67.25</v>
      </c>
      <c r="Y3" s="110">
        <v>96</v>
      </c>
      <c r="Z3" s="111">
        <v>64</v>
      </c>
      <c r="AA3" s="112">
        <v>65.83</v>
      </c>
      <c r="AB3" s="110">
        <v>98</v>
      </c>
      <c r="AC3" s="111">
        <v>66</v>
      </c>
      <c r="AD3" s="112">
        <v>67.25</v>
      </c>
      <c r="AF3" s="122">
        <v>100</v>
      </c>
      <c r="AG3" s="123">
        <v>131</v>
      </c>
      <c r="AH3" s="124">
        <v>132</v>
      </c>
      <c r="AI3" s="110">
        <v>100</v>
      </c>
      <c r="AJ3" s="111">
        <v>143</v>
      </c>
      <c r="AK3" s="112">
        <v>138</v>
      </c>
    </row>
    <row r="4" spans="1:37">
      <c r="A4" s="110">
        <v>94</v>
      </c>
      <c r="B4" s="111">
        <v>65</v>
      </c>
      <c r="C4" s="112">
        <v>64.81</v>
      </c>
      <c r="D4" s="110">
        <v>98</v>
      </c>
      <c r="E4" s="111">
        <v>67</v>
      </c>
      <c r="F4" s="112">
        <v>67.25</v>
      </c>
      <c r="G4" s="110">
        <v>90</v>
      </c>
      <c r="H4" s="111">
        <v>63</v>
      </c>
      <c r="I4" s="112">
        <v>63.13</v>
      </c>
      <c r="J4" s="110">
        <v>99</v>
      </c>
      <c r="K4" s="111">
        <v>67</v>
      </c>
      <c r="L4" s="112">
        <v>68.5</v>
      </c>
      <c r="M4" s="110">
        <v>97</v>
      </c>
      <c r="N4" s="111">
        <v>65</v>
      </c>
      <c r="O4" s="112">
        <v>66.459999999999994</v>
      </c>
      <c r="P4" s="110">
        <v>95</v>
      </c>
      <c r="Q4" s="111">
        <v>64</v>
      </c>
      <c r="R4" s="112">
        <v>65.319999999999993</v>
      </c>
      <c r="S4" s="110">
        <v>91</v>
      </c>
      <c r="T4" s="111">
        <v>64</v>
      </c>
      <c r="U4" s="112">
        <v>63.53</v>
      </c>
      <c r="V4" s="110">
        <v>94</v>
      </c>
      <c r="W4" s="111">
        <v>65</v>
      </c>
      <c r="X4" s="112">
        <v>64.81</v>
      </c>
      <c r="Y4" s="110">
        <v>90</v>
      </c>
      <c r="Z4" s="111">
        <v>63</v>
      </c>
      <c r="AA4" s="112">
        <v>63.13</v>
      </c>
      <c r="AB4" s="110">
        <v>96</v>
      </c>
      <c r="AC4" s="111">
        <v>65</v>
      </c>
      <c r="AD4" s="112">
        <v>65.83</v>
      </c>
      <c r="AF4" s="110">
        <v>98</v>
      </c>
      <c r="AG4" s="111">
        <v>129</v>
      </c>
      <c r="AH4" s="112">
        <v>130</v>
      </c>
      <c r="AI4" s="110">
        <v>99</v>
      </c>
      <c r="AJ4" s="111">
        <v>141</v>
      </c>
      <c r="AK4" s="112">
        <v>137</v>
      </c>
    </row>
    <row r="5" spans="1:37">
      <c r="A5" s="110">
        <v>91</v>
      </c>
      <c r="B5" s="111">
        <v>64</v>
      </c>
      <c r="C5" s="112">
        <v>63.53</v>
      </c>
      <c r="D5" s="110">
        <v>96</v>
      </c>
      <c r="E5" s="111">
        <v>66</v>
      </c>
      <c r="F5" s="112">
        <v>65.83</v>
      </c>
      <c r="G5" s="110">
        <v>85</v>
      </c>
      <c r="H5" s="111">
        <v>62</v>
      </c>
      <c r="I5" s="112">
        <v>61.47</v>
      </c>
      <c r="J5" s="110">
        <v>98</v>
      </c>
      <c r="K5" s="111">
        <v>66</v>
      </c>
      <c r="L5" s="112">
        <v>67.25</v>
      </c>
      <c r="M5" s="110">
        <v>94</v>
      </c>
      <c r="N5" s="111">
        <v>64</v>
      </c>
      <c r="O5" s="112">
        <v>64.81</v>
      </c>
      <c r="P5" s="110">
        <v>92</v>
      </c>
      <c r="Q5" s="111">
        <v>63</v>
      </c>
      <c r="R5" s="112">
        <v>63.91</v>
      </c>
      <c r="S5" s="110">
        <v>87</v>
      </c>
      <c r="T5" s="111">
        <v>63</v>
      </c>
      <c r="U5" s="112">
        <v>62.17</v>
      </c>
      <c r="V5" s="110">
        <v>91</v>
      </c>
      <c r="W5" s="111">
        <v>64</v>
      </c>
      <c r="X5" s="112">
        <v>63.53</v>
      </c>
      <c r="Y5" s="110">
        <v>85</v>
      </c>
      <c r="Z5" s="111">
        <v>62</v>
      </c>
      <c r="AA5" s="112">
        <v>61.47</v>
      </c>
      <c r="AB5" s="110">
        <v>93</v>
      </c>
      <c r="AC5" s="111">
        <v>64</v>
      </c>
      <c r="AD5" s="112">
        <v>64.36</v>
      </c>
      <c r="AF5" s="110">
        <v>97</v>
      </c>
      <c r="AG5" s="111">
        <v>128</v>
      </c>
      <c r="AH5" s="112">
        <v>129</v>
      </c>
      <c r="AI5" s="110">
        <v>98</v>
      </c>
      <c r="AJ5" s="111">
        <v>140</v>
      </c>
      <c r="AK5" s="112">
        <v>134</v>
      </c>
    </row>
    <row r="6" spans="1:37">
      <c r="A6" s="110">
        <v>90</v>
      </c>
      <c r="B6" s="111">
        <v>63</v>
      </c>
      <c r="C6" s="112">
        <v>63.13</v>
      </c>
      <c r="D6" s="110">
        <v>94</v>
      </c>
      <c r="E6" s="111">
        <v>65</v>
      </c>
      <c r="F6" s="112">
        <v>64.81</v>
      </c>
      <c r="G6" s="110">
        <v>79</v>
      </c>
      <c r="H6" s="111">
        <v>61</v>
      </c>
      <c r="I6" s="112">
        <v>59.61</v>
      </c>
      <c r="J6" s="110">
        <v>96</v>
      </c>
      <c r="K6" s="111">
        <v>65</v>
      </c>
      <c r="L6" s="112">
        <v>65.83</v>
      </c>
      <c r="M6" s="110">
        <v>92</v>
      </c>
      <c r="N6" s="111">
        <v>63</v>
      </c>
      <c r="O6" s="112">
        <v>63.91</v>
      </c>
      <c r="P6" s="110">
        <v>87</v>
      </c>
      <c r="Q6" s="111">
        <v>62</v>
      </c>
      <c r="R6" s="112">
        <v>62.17</v>
      </c>
      <c r="S6" s="110">
        <v>83</v>
      </c>
      <c r="T6" s="111">
        <v>62</v>
      </c>
      <c r="U6" s="112">
        <v>60.8</v>
      </c>
      <c r="V6" s="110">
        <v>89</v>
      </c>
      <c r="W6" s="111">
        <v>63</v>
      </c>
      <c r="X6" s="112">
        <v>62.78</v>
      </c>
      <c r="Y6" s="110">
        <v>82</v>
      </c>
      <c r="Z6" s="111">
        <v>61</v>
      </c>
      <c r="AA6" s="112">
        <v>60.48</v>
      </c>
      <c r="AB6" s="110">
        <v>91</v>
      </c>
      <c r="AC6" s="111">
        <v>63</v>
      </c>
      <c r="AD6" s="112">
        <v>63.53</v>
      </c>
      <c r="AF6" s="110">
        <v>96</v>
      </c>
      <c r="AG6" s="111">
        <v>127</v>
      </c>
      <c r="AH6" s="112">
        <v>128</v>
      </c>
      <c r="AI6" s="110">
        <v>97</v>
      </c>
      <c r="AJ6" s="111">
        <v>139</v>
      </c>
      <c r="AK6" s="112">
        <v>133</v>
      </c>
    </row>
    <row r="7" spans="1:37">
      <c r="A7" s="110">
        <v>87</v>
      </c>
      <c r="B7" s="111">
        <v>62</v>
      </c>
      <c r="C7" s="112">
        <v>62.17</v>
      </c>
      <c r="D7" s="110">
        <v>91</v>
      </c>
      <c r="E7" s="111">
        <v>64</v>
      </c>
      <c r="F7" s="112">
        <v>63.53</v>
      </c>
      <c r="G7" s="110">
        <v>75</v>
      </c>
      <c r="H7" s="111">
        <v>60</v>
      </c>
      <c r="I7" s="112">
        <v>58.42</v>
      </c>
      <c r="J7" s="110">
        <v>94</v>
      </c>
      <c r="K7" s="111">
        <v>64</v>
      </c>
      <c r="L7" s="112">
        <v>64.81</v>
      </c>
      <c r="M7" s="110">
        <v>90</v>
      </c>
      <c r="N7" s="111">
        <v>62</v>
      </c>
      <c r="O7" s="112">
        <v>63.13</v>
      </c>
      <c r="P7" s="110">
        <v>83</v>
      </c>
      <c r="Q7" s="111">
        <v>61</v>
      </c>
      <c r="R7" s="112">
        <v>60.8</v>
      </c>
      <c r="S7" s="110">
        <v>80</v>
      </c>
      <c r="T7" s="111">
        <v>61</v>
      </c>
      <c r="U7" s="112">
        <v>59.91</v>
      </c>
      <c r="V7" s="110">
        <v>86</v>
      </c>
      <c r="W7" s="111">
        <v>62</v>
      </c>
      <c r="X7" s="112">
        <v>61.82</v>
      </c>
      <c r="Y7" s="110">
        <v>80</v>
      </c>
      <c r="Z7" s="111">
        <v>60</v>
      </c>
      <c r="AA7" s="112">
        <v>59.91</v>
      </c>
      <c r="AB7" s="110">
        <v>87</v>
      </c>
      <c r="AC7" s="111">
        <v>62</v>
      </c>
      <c r="AD7" s="112">
        <v>62.17</v>
      </c>
      <c r="AF7" s="110">
        <v>94</v>
      </c>
      <c r="AG7" s="111">
        <v>126</v>
      </c>
      <c r="AH7" s="112">
        <v>126</v>
      </c>
      <c r="AI7" s="110">
        <v>97</v>
      </c>
      <c r="AJ7" s="111">
        <v>138</v>
      </c>
      <c r="AK7" s="112">
        <v>132.5</v>
      </c>
    </row>
    <row r="8" spans="1:37">
      <c r="A8" s="110">
        <v>84</v>
      </c>
      <c r="B8" s="111">
        <v>61</v>
      </c>
      <c r="C8" s="112">
        <v>61.14</v>
      </c>
      <c r="D8" s="110">
        <v>88</v>
      </c>
      <c r="E8" s="111">
        <v>63</v>
      </c>
      <c r="F8" s="112">
        <v>62.47</v>
      </c>
      <c r="G8" s="110">
        <v>71</v>
      </c>
      <c r="H8" s="111">
        <v>59</v>
      </c>
      <c r="I8" s="112">
        <v>57.27</v>
      </c>
      <c r="J8" s="110">
        <v>90</v>
      </c>
      <c r="K8" s="111">
        <v>63</v>
      </c>
      <c r="L8" s="112">
        <v>63.13</v>
      </c>
      <c r="M8" s="110">
        <v>86</v>
      </c>
      <c r="N8" s="111">
        <v>61</v>
      </c>
      <c r="O8" s="112">
        <v>61.82</v>
      </c>
      <c r="P8" s="110">
        <v>79</v>
      </c>
      <c r="Q8" s="111">
        <v>60</v>
      </c>
      <c r="R8" s="112">
        <v>59.61</v>
      </c>
      <c r="S8" s="110">
        <v>77</v>
      </c>
      <c r="T8" s="111">
        <v>60</v>
      </c>
      <c r="U8" s="112">
        <v>59.01</v>
      </c>
      <c r="V8" s="110">
        <v>82</v>
      </c>
      <c r="W8" s="111">
        <v>61</v>
      </c>
      <c r="X8" s="112">
        <v>60.48</v>
      </c>
      <c r="Y8" s="110">
        <v>75</v>
      </c>
      <c r="Z8" s="111">
        <v>59</v>
      </c>
      <c r="AA8" s="112">
        <v>58.42</v>
      </c>
      <c r="AB8" s="110">
        <v>83</v>
      </c>
      <c r="AC8" s="111">
        <v>61</v>
      </c>
      <c r="AD8" s="112">
        <v>60.8</v>
      </c>
      <c r="AF8" s="110">
        <v>93</v>
      </c>
      <c r="AG8" s="111">
        <v>124</v>
      </c>
      <c r="AH8" s="112">
        <v>125.5</v>
      </c>
      <c r="AI8" s="110">
        <v>96</v>
      </c>
      <c r="AJ8" s="111">
        <v>137</v>
      </c>
      <c r="AK8" s="112">
        <v>132</v>
      </c>
    </row>
    <row r="9" spans="1:37">
      <c r="A9" s="110">
        <v>82</v>
      </c>
      <c r="B9" s="111">
        <v>60</v>
      </c>
      <c r="C9" s="112">
        <v>60.48</v>
      </c>
      <c r="D9" s="110">
        <v>86</v>
      </c>
      <c r="E9" s="111">
        <v>62</v>
      </c>
      <c r="F9" s="112">
        <v>61.82</v>
      </c>
      <c r="G9" s="110">
        <v>68</v>
      </c>
      <c r="H9" s="111">
        <v>58</v>
      </c>
      <c r="I9" s="112">
        <v>56.26</v>
      </c>
      <c r="J9" s="110">
        <v>87</v>
      </c>
      <c r="K9" s="111">
        <v>62</v>
      </c>
      <c r="L9" s="112">
        <v>62.17</v>
      </c>
      <c r="M9" s="110">
        <v>81</v>
      </c>
      <c r="N9" s="111">
        <v>60</v>
      </c>
      <c r="O9" s="112">
        <v>60.21</v>
      </c>
      <c r="P9" s="110">
        <v>74</v>
      </c>
      <c r="Q9" s="111">
        <v>59</v>
      </c>
      <c r="R9" s="112">
        <v>58.17</v>
      </c>
      <c r="S9" s="110">
        <v>74</v>
      </c>
      <c r="T9" s="111">
        <v>59</v>
      </c>
      <c r="U9" s="112">
        <v>58.17</v>
      </c>
      <c r="V9" s="110">
        <v>78</v>
      </c>
      <c r="W9" s="111">
        <v>60</v>
      </c>
      <c r="X9" s="112">
        <v>59.32</v>
      </c>
      <c r="Y9" s="110">
        <v>71</v>
      </c>
      <c r="Z9" s="111">
        <v>58</v>
      </c>
      <c r="AA9" s="112">
        <v>57.27</v>
      </c>
      <c r="AB9" s="110">
        <v>81</v>
      </c>
      <c r="AC9" s="111">
        <v>60</v>
      </c>
      <c r="AD9" s="112">
        <v>60.21</v>
      </c>
      <c r="AF9" s="110">
        <v>91</v>
      </c>
      <c r="AG9" s="111">
        <v>123</v>
      </c>
      <c r="AH9" s="112">
        <v>124</v>
      </c>
      <c r="AI9" s="110">
        <v>95</v>
      </c>
      <c r="AJ9" s="111">
        <v>136</v>
      </c>
      <c r="AK9" s="112">
        <v>131</v>
      </c>
    </row>
    <row r="10" spans="1:37">
      <c r="A10" s="110">
        <v>78</v>
      </c>
      <c r="B10" s="111">
        <v>59</v>
      </c>
      <c r="C10" s="112">
        <v>59.32</v>
      </c>
      <c r="D10" s="110">
        <v>82</v>
      </c>
      <c r="E10" s="111">
        <v>61</v>
      </c>
      <c r="F10" s="112">
        <v>60.48</v>
      </c>
      <c r="G10" s="110">
        <v>66</v>
      </c>
      <c r="H10" s="111">
        <v>57</v>
      </c>
      <c r="I10" s="112">
        <v>55.71</v>
      </c>
      <c r="J10" s="110">
        <v>84</v>
      </c>
      <c r="K10" s="111">
        <v>61</v>
      </c>
      <c r="L10" s="112">
        <v>61.14</v>
      </c>
      <c r="M10" s="110">
        <v>77</v>
      </c>
      <c r="N10" s="111">
        <v>59</v>
      </c>
      <c r="O10" s="112">
        <v>59.01</v>
      </c>
      <c r="P10" s="110">
        <v>72</v>
      </c>
      <c r="Q10" s="111">
        <v>58</v>
      </c>
      <c r="R10" s="112">
        <v>57.6</v>
      </c>
      <c r="S10" s="110">
        <v>70</v>
      </c>
      <c r="T10" s="111">
        <v>58</v>
      </c>
      <c r="U10" s="112">
        <v>56.9</v>
      </c>
      <c r="V10" s="110">
        <v>76</v>
      </c>
      <c r="W10" s="111">
        <v>59</v>
      </c>
      <c r="X10" s="112">
        <v>58.69</v>
      </c>
      <c r="Y10" s="110">
        <v>68</v>
      </c>
      <c r="Z10" s="111">
        <v>57</v>
      </c>
      <c r="AA10" s="112">
        <v>56.26</v>
      </c>
      <c r="AB10" s="110">
        <v>77</v>
      </c>
      <c r="AC10" s="111">
        <v>59</v>
      </c>
      <c r="AD10" s="112">
        <v>59.01</v>
      </c>
      <c r="AF10" s="110">
        <v>89</v>
      </c>
      <c r="AG10" s="111">
        <v>122</v>
      </c>
      <c r="AH10" s="112">
        <v>123</v>
      </c>
      <c r="AI10" s="110">
        <v>95</v>
      </c>
      <c r="AJ10" s="111">
        <v>135</v>
      </c>
      <c r="AK10" s="112">
        <v>130</v>
      </c>
    </row>
    <row r="11" spans="1:37">
      <c r="A11" s="110">
        <v>76</v>
      </c>
      <c r="B11" s="111">
        <v>58</v>
      </c>
      <c r="C11" s="112">
        <v>58.69</v>
      </c>
      <c r="D11" s="110">
        <v>80</v>
      </c>
      <c r="E11" s="111">
        <v>60</v>
      </c>
      <c r="F11" s="112">
        <v>59.91</v>
      </c>
      <c r="G11" s="110">
        <v>63</v>
      </c>
      <c r="H11" s="111">
        <v>56</v>
      </c>
      <c r="I11" s="112">
        <v>54.85</v>
      </c>
      <c r="J11" s="110">
        <v>81</v>
      </c>
      <c r="K11" s="111">
        <v>60</v>
      </c>
      <c r="L11" s="112">
        <v>60.21</v>
      </c>
      <c r="M11" s="110">
        <v>74</v>
      </c>
      <c r="N11" s="111">
        <v>58</v>
      </c>
      <c r="O11" s="112">
        <v>58.17</v>
      </c>
      <c r="P11" s="110">
        <v>68</v>
      </c>
      <c r="Q11" s="111">
        <v>57</v>
      </c>
      <c r="R11" s="112">
        <v>56.26</v>
      </c>
      <c r="S11" s="110">
        <v>67</v>
      </c>
      <c r="T11" s="111">
        <v>57</v>
      </c>
      <c r="U11" s="112">
        <v>55.98</v>
      </c>
      <c r="V11" s="110">
        <v>73</v>
      </c>
      <c r="W11" s="111">
        <v>58</v>
      </c>
      <c r="X11" s="112">
        <v>57.89</v>
      </c>
      <c r="Y11" s="110">
        <v>65</v>
      </c>
      <c r="Z11" s="111">
        <v>56</v>
      </c>
      <c r="AA11" s="112">
        <v>55.44</v>
      </c>
      <c r="AB11" s="110">
        <v>72</v>
      </c>
      <c r="AC11" s="111">
        <v>58</v>
      </c>
      <c r="AD11" s="112">
        <v>57.6</v>
      </c>
      <c r="AF11" s="110">
        <v>87</v>
      </c>
      <c r="AG11" s="111">
        <v>121</v>
      </c>
      <c r="AH11" s="112">
        <v>122</v>
      </c>
      <c r="AI11" s="110">
        <v>94</v>
      </c>
      <c r="AJ11" s="111">
        <v>134</v>
      </c>
      <c r="AK11" s="112">
        <v>129</v>
      </c>
    </row>
    <row r="12" spans="1:37">
      <c r="A12" s="110">
        <v>73</v>
      </c>
      <c r="B12" s="111">
        <v>57</v>
      </c>
      <c r="C12" s="112">
        <v>57.89</v>
      </c>
      <c r="D12" s="110">
        <v>76</v>
      </c>
      <c r="E12" s="111">
        <v>59</v>
      </c>
      <c r="F12" s="112">
        <v>58.69</v>
      </c>
      <c r="G12" s="110">
        <v>60</v>
      </c>
      <c r="H12" s="111">
        <v>55</v>
      </c>
      <c r="I12" s="112">
        <v>53.92</v>
      </c>
      <c r="J12" s="110">
        <v>78</v>
      </c>
      <c r="K12" s="111">
        <v>59</v>
      </c>
      <c r="L12" s="112">
        <v>59.32</v>
      </c>
      <c r="M12" s="110">
        <v>70</v>
      </c>
      <c r="N12" s="111">
        <v>57</v>
      </c>
      <c r="O12" s="112">
        <v>56.9</v>
      </c>
      <c r="P12" s="110">
        <v>64</v>
      </c>
      <c r="Q12" s="111">
        <v>56</v>
      </c>
      <c r="R12" s="112">
        <v>55.14</v>
      </c>
      <c r="S12" s="110">
        <v>65</v>
      </c>
      <c r="T12" s="111">
        <v>56</v>
      </c>
      <c r="U12" s="112">
        <v>55.44</v>
      </c>
      <c r="V12" s="110">
        <v>69</v>
      </c>
      <c r="W12" s="111">
        <v>57</v>
      </c>
      <c r="X12" s="112">
        <v>56.56</v>
      </c>
      <c r="Y12" s="110">
        <v>61</v>
      </c>
      <c r="Z12" s="111">
        <v>55</v>
      </c>
      <c r="AA12" s="112">
        <v>54.25</v>
      </c>
      <c r="AB12" s="110">
        <v>69</v>
      </c>
      <c r="AC12" s="111">
        <v>57</v>
      </c>
      <c r="AD12" s="112">
        <v>56.56</v>
      </c>
      <c r="AF12" s="110">
        <v>84</v>
      </c>
      <c r="AG12" s="111">
        <v>120</v>
      </c>
      <c r="AH12" s="112">
        <v>120</v>
      </c>
      <c r="AI12" s="110">
        <v>92</v>
      </c>
      <c r="AJ12" s="111">
        <v>133</v>
      </c>
      <c r="AK12" s="112">
        <v>128</v>
      </c>
    </row>
    <row r="13" spans="1:37">
      <c r="A13" s="110">
        <v>68</v>
      </c>
      <c r="B13" s="111">
        <v>56</v>
      </c>
      <c r="C13" s="112">
        <v>56.26</v>
      </c>
      <c r="D13" s="110">
        <v>72</v>
      </c>
      <c r="E13" s="111">
        <v>58</v>
      </c>
      <c r="F13" s="112">
        <v>57.6</v>
      </c>
      <c r="G13" s="110">
        <v>58</v>
      </c>
      <c r="H13" s="111">
        <v>54</v>
      </c>
      <c r="I13" s="112">
        <v>53.2</v>
      </c>
      <c r="J13" s="110">
        <v>75</v>
      </c>
      <c r="K13" s="111">
        <v>58</v>
      </c>
      <c r="L13" s="112">
        <v>58.42</v>
      </c>
      <c r="M13" s="110">
        <v>67</v>
      </c>
      <c r="N13" s="111">
        <v>56</v>
      </c>
      <c r="O13" s="112">
        <v>55.98</v>
      </c>
      <c r="P13" s="110">
        <v>61</v>
      </c>
      <c r="Q13" s="111">
        <v>55</v>
      </c>
      <c r="R13" s="112">
        <v>54.25</v>
      </c>
      <c r="S13" s="110">
        <v>63</v>
      </c>
      <c r="T13" s="111">
        <v>55</v>
      </c>
      <c r="U13" s="112">
        <v>54.85</v>
      </c>
      <c r="V13" s="110">
        <v>66</v>
      </c>
      <c r="W13" s="111">
        <v>56</v>
      </c>
      <c r="X13" s="112">
        <v>55.71</v>
      </c>
      <c r="Y13" s="110">
        <v>59</v>
      </c>
      <c r="Z13" s="111">
        <v>54</v>
      </c>
      <c r="AA13" s="112">
        <v>53.54</v>
      </c>
      <c r="AB13" s="110">
        <v>67</v>
      </c>
      <c r="AC13" s="111">
        <v>56</v>
      </c>
      <c r="AD13" s="112">
        <v>55.98</v>
      </c>
      <c r="AF13" s="110">
        <v>82</v>
      </c>
      <c r="AG13" s="111">
        <v>119</v>
      </c>
      <c r="AH13" s="112">
        <v>119</v>
      </c>
      <c r="AI13" s="110">
        <v>92</v>
      </c>
      <c r="AJ13" s="111">
        <v>132</v>
      </c>
      <c r="AK13" s="112">
        <v>127.33</v>
      </c>
    </row>
    <row r="14" spans="1:37">
      <c r="A14" s="110">
        <v>64</v>
      </c>
      <c r="B14" s="111">
        <v>55</v>
      </c>
      <c r="C14" s="112">
        <v>55.14</v>
      </c>
      <c r="D14" s="110">
        <v>69</v>
      </c>
      <c r="E14" s="111">
        <v>57</v>
      </c>
      <c r="F14" s="112">
        <v>56.56</v>
      </c>
      <c r="G14" s="110">
        <v>56</v>
      </c>
      <c r="H14" s="111">
        <v>53</v>
      </c>
      <c r="I14" s="112">
        <v>52.54</v>
      </c>
      <c r="J14" s="110">
        <v>71</v>
      </c>
      <c r="K14" s="111">
        <v>57</v>
      </c>
      <c r="L14" s="112">
        <v>57.27</v>
      </c>
      <c r="M14" s="110">
        <v>62</v>
      </c>
      <c r="N14" s="111">
        <v>55</v>
      </c>
      <c r="O14" s="112">
        <v>54.58</v>
      </c>
      <c r="P14" s="110">
        <v>58</v>
      </c>
      <c r="Q14" s="111">
        <v>54</v>
      </c>
      <c r="R14" s="112">
        <v>53.2</v>
      </c>
      <c r="S14" s="110">
        <v>60</v>
      </c>
      <c r="T14" s="111">
        <v>54</v>
      </c>
      <c r="U14" s="112">
        <v>53.92</v>
      </c>
      <c r="V14" s="110">
        <v>64</v>
      </c>
      <c r="W14" s="111">
        <v>55</v>
      </c>
      <c r="X14" s="112">
        <v>55.14</v>
      </c>
      <c r="Y14" s="110">
        <v>55</v>
      </c>
      <c r="Z14" s="111">
        <v>53</v>
      </c>
      <c r="AA14" s="112">
        <v>52.2</v>
      </c>
      <c r="AB14" s="110">
        <v>63</v>
      </c>
      <c r="AC14" s="111">
        <v>55</v>
      </c>
      <c r="AD14" s="112">
        <v>54.85</v>
      </c>
      <c r="AF14" s="110">
        <v>80</v>
      </c>
      <c r="AG14" s="111">
        <v>118</v>
      </c>
      <c r="AH14" s="112">
        <v>118</v>
      </c>
      <c r="AI14" s="110">
        <v>92</v>
      </c>
      <c r="AJ14" s="111">
        <v>131</v>
      </c>
      <c r="AK14" s="112">
        <v>126.66</v>
      </c>
    </row>
    <row r="15" spans="1:37">
      <c r="A15" s="110">
        <v>61</v>
      </c>
      <c r="B15" s="111">
        <v>54</v>
      </c>
      <c r="C15" s="112">
        <v>54.25</v>
      </c>
      <c r="D15" s="110">
        <v>67</v>
      </c>
      <c r="E15" s="111">
        <v>56</v>
      </c>
      <c r="F15" s="112">
        <v>55.98</v>
      </c>
      <c r="G15" s="110">
        <v>53</v>
      </c>
      <c r="H15" s="111">
        <v>52</v>
      </c>
      <c r="I15" s="112">
        <v>51.45</v>
      </c>
      <c r="J15" s="110">
        <v>68</v>
      </c>
      <c r="K15" s="111">
        <v>56</v>
      </c>
      <c r="L15" s="112">
        <v>56.26</v>
      </c>
      <c r="M15" s="110">
        <v>58</v>
      </c>
      <c r="N15" s="111">
        <v>54</v>
      </c>
      <c r="O15" s="112">
        <v>53.2</v>
      </c>
      <c r="P15" s="110">
        <v>55</v>
      </c>
      <c r="Q15" s="111">
        <v>53</v>
      </c>
      <c r="R15" s="112">
        <v>52.2</v>
      </c>
      <c r="S15" s="110">
        <v>58</v>
      </c>
      <c r="T15" s="111">
        <v>53</v>
      </c>
      <c r="U15" s="112">
        <v>53.2</v>
      </c>
      <c r="V15" s="110">
        <v>60</v>
      </c>
      <c r="W15" s="111">
        <v>54</v>
      </c>
      <c r="X15" s="112">
        <v>53.92</v>
      </c>
      <c r="Y15" s="110">
        <v>52</v>
      </c>
      <c r="Z15" s="111">
        <v>52</v>
      </c>
      <c r="AA15" s="112">
        <v>51.08</v>
      </c>
      <c r="AB15" s="110">
        <v>59</v>
      </c>
      <c r="AC15" s="111">
        <v>54</v>
      </c>
      <c r="AD15" s="112">
        <v>53.54</v>
      </c>
      <c r="AF15" s="110">
        <v>78</v>
      </c>
      <c r="AG15" s="111">
        <v>117</v>
      </c>
      <c r="AH15" s="112">
        <v>117</v>
      </c>
      <c r="AI15" s="110">
        <v>90</v>
      </c>
      <c r="AJ15" s="111">
        <v>130</v>
      </c>
      <c r="AK15" s="112">
        <v>126</v>
      </c>
    </row>
    <row r="16" spans="1:37">
      <c r="A16" s="110">
        <v>58</v>
      </c>
      <c r="B16" s="111">
        <v>53</v>
      </c>
      <c r="C16" s="112">
        <v>53.2</v>
      </c>
      <c r="D16" s="110">
        <v>64</v>
      </c>
      <c r="E16" s="111">
        <v>55</v>
      </c>
      <c r="F16" s="112">
        <v>55.14</v>
      </c>
      <c r="G16" s="110">
        <v>51</v>
      </c>
      <c r="H16" s="111">
        <v>51</v>
      </c>
      <c r="I16" s="112">
        <v>50.72</v>
      </c>
      <c r="J16" s="110">
        <v>65</v>
      </c>
      <c r="K16" s="111">
        <v>55</v>
      </c>
      <c r="L16" s="112">
        <v>55.44</v>
      </c>
      <c r="M16" s="110">
        <v>55</v>
      </c>
      <c r="N16" s="111">
        <v>53</v>
      </c>
      <c r="O16" s="112">
        <v>52.2</v>
      </c>
      <c r="P16" s="110">
        <v>52</v>
      </c>
      <c r="Q16" s="111">
        <v>52</v>
      </c>
      <c r="R16" s="112">
        <v>51.08</v>
      </c>
      <c r="S16" s="110">
        <v>56</v>
      </c>
      <c r="T16" s="111">
        <v>52</v>
      </c>
      <c r="U16" s="112">
        <v>52.54</v>
      </c>
      <c r="V16" s="110">
        <v>57</v>
      </c>
      <c r="W16" s="111">
        <v>53</v>
      </c>
      <c r="X16" s="112">
        <v>52.87</v>
      </c>
      <c r="Y16" s="110">
        <v>50</v>
      </c>
      <c r="Z16" s="111">
        <v>51</v>
      </c>
      <c r="AA16" s="112">
        <v>50.34</v>
      </c>
      <c r="AB16" s="110">
        <v>56</v>
      </c>
      <c r="AC16" s="111">
        <v>53</v>
      </c>
      <c r="AD16" s="112">
        <v>52.54</v>
      </c>
      <c r="AF16" s="110">
        <v>75</v>
      </c>
      <c r="AG16" s="111">
        <v>116</v>
      </c>
      <c r="AH16" s="112">
        <v>115.5</v>
      </c>
      <c r="AI16" s="110">
        <v>89</v>
      </c>
      <c r="AJ16" s="111">
        <v>129</v>
      </c>
      <c r="AK16" s="112">
        <v>125.5</v>
      </c>
    </row>
    <row r="17" spans="1:37">
      <c r="A17" s="110">
        <v>54</v>
      </c>
      <c r="B17" s="111">
        <v>52</v>
      </c>
      <c r="C17" s="112">
        <v>51.84</v>
      </c>
      <c r="D17" s="110">
        <v>62</v>
      </c>
      <c r="E17" s="111">
        <v>54</v>
      </c>
      <c r="F17" s="112">
        <v>54.58</v>
      </c>
      <c r="G17" s="110">
        <v>49</v>
      </c>
      <c r="H17" s="111">
        <v>50</v>
      </c>
      <c r="I17" s="112">
        <v>49.95</v>
      </c>
      <c r="J17" s="110">
        <v>60</v>
      </c>
      <c r="K17" s="111">
        <v>54</v>
      </c>
      <c r="L17" s="112">
        <v>53.92</v>
      </c>
      <c r="M17" s="110">
        <v>52</v>
      </c>
      <c r="N17" s="111">
        <v>52</v>
      </c>
      <c r="O17" s="112">
        <v>51.08</v>
      </c>
      <c r="P17" s="110">
        <v>50</v>
      </c>
      <c r="Q17" s="111">
        <v>51</v>
      </c>
      <c r="R17" s="112">
        <v>50.34</v>
      </c>
      <c r="S17" s="110">
        <v>53</v>
      </c>
      <c r="T17" s="111">
        <v>51</v>
      </c>
      <c r="U17" s="112">
        <v>51.45</v>
      </c>
      <c r="V17" s="110">
        <v>55</v>
      </c>
      <c r="W17" s="111">
        <v>52</v>
      </c>
      <c r="X17" s="112">
        <v>52.2</v>
      </c>
      <c r="Y17" s="110">
        <v>47</v>
      </c>
      <c r="Z17" s="111">
        <v>50</v>
      </c>
      <c r="AA17" s="112">
        <v>49.22</v>
      </c>
      <c r="AB17" s="110">
        <v>54</v>
      </c>
      <c r="AC17" s="111">
        <v>52</v>
      </c>
      <c r="AD17" s="112">
        <v>51.84</v>
      </c>
      <c r="AF17" s="110">
        <v>73</v>
      </c>
      <c r="AG17" s="111">
        <v>115</v>
      </c>
      <c r="AH17" s="112">
        <v>114.5</v>
      </c>
      <c r="AI17" s="110">
        <v>88</v>
      </c>
      <c r="AJ17" s="111">
        <v>128</v>
      </c>
      <c r="AK17" s="112">
        <v>125</v>
      </c>
    </row>
    <row r="18" spans="1:37">
      <c r="A18" s="110">
        <v>51</v>
      </c>
      <c r="B18" s="111">
        <v>51</v>
      </c>
      <c r="C18" s="112">
        <v>50.72</v>
      </c>
      <c r="D18" s="110">
        <v>58</v>
      </c>
      <c r="E18" s="111">
        <v>53</v>
      </c>
      <c r="F18" s="112">
        <v>53.2</v>
      </c>
      <c r="G18" s="110">
        <v>47</v>
      </c>
      <c r="H18" s="111">
        <v>49</v>
      </c>
      <c r="I18" s="112">
        <v>49.22</v>
      </c>
      <c r="J18" s="110">
        <v>55</v>
      </c>
      <c r="K18" s="111">
        <v>53</v>
      </c>
      <c r="L18" s="112">
        <v>52.2</v>
      </c>
      <c r="M18" s="110">
        <v>49</v>
      </c>
      <c r="N18" s="111">
        <v>51</v>
      </c>
      <c r="O18" s="112">
        <v>49.95</v>
      </c>
      <c r="P18" s="110">
        <v>48</v>
      </c>
      <c r="Q18" s="111">
        <v>50</v>
      </c>
      <c r="R18" s="112">
        <v>49.59</v>
      </c>
      <c r="S18" s="110">
        <v>51</v>
      </c>
      <c r="T18" s="111">
        <v>50</v>
      </c>
      <c r="U18" s="112">
        <v>50.72</v>
      </c>
      <c r="V18" s="110">
        <v>53</v>
      </c>
      <c r="W18" s="111">
        <v>51</v>
      </c>
      <c r="X18" s="112">
        <v>51.45</v>
      </c>
      <c r="Y18" s="110">
        <v>44</v>
      </c>
      <c r="Z18" s="111">
        <v>49</v>
      </c>
      <c r="AA18" s="112">
        <v>48.04</v>
      </c>
      <c r="AB18" s="110">
        <v>51</v>
      </c>
      <c r="AC18" s="111">
        <v>51</v>
      </c>
      <c r="AD18" s="112">
        <v>50.72</v>
      </c>
      <c r="AF18" s="110">
        <v>71</v>
      </c>
      <c r="AG18" s="111">
        <v>114</v>
      </c>
      <c r="AH18" s="112">
        <v>113.5</v>
      </c>
      <c r="AI18" s="110">
        <v>86</v>
      </c>
      <c r="AJ18" s="111">
        <v>127</v>
      </c>
      <c r="AK18" s="112">
        <v>123.5</v>
      </c>
    </row>
    <row r="19" spans="1:37">
      <c r="A19" s="110">
        <v>48</v>
      </c>
      <c r="B19" s="111">
        <v>50</v>
      </c>
      <c r="C19" s="112">
        <v>49.59</v>
      </c>
      <c r="D19" s="110">
        <v>55</v>
      </c>
      <c r="E19" s="111">
        <v>52</v>
      </c>
      <c r="F19" s="112">
        <v>52.2</v>
      </c>
      <c r="G19" s="110">
        <v>46</v>
      </c>
      <c r="H19" s="111">
        <v>48</v>
      </c>
      <c r="I19" s="112">
        <v>48.82</v>
      </c>
      <c r="J19" s="110">
        <v>53</v>
      </c>
      <c r="K19" s="111">
        <v>52</v>
      </c>
      <c r="L19" s="112">
        <v>51.45</v>
      </c>
      <c r="M19" s="110">
        <v>45</v>
      </c>
      <c r="N19" s="111">
        <v>50</v>
      </c>
      <c r="O19" s="112">
        <v>48.43</v>
      </c>
      <c r="P19" s="110">
        <v>45</v>
      </c>
      <c r="Q19" s="111">
        <v>49</v>
      </c>
      <c r="R19" s="112">
        <v>48.43</v>
      </c>
      <c r="S19" s="110">
        <v>48</v>
      </c>
      <c r="T19" s="111">
        <v>49</v>
      </c>
      <c r="U19" s="112">
        <v>49.59</v>
      </c>
      <c r="V19" s="110">
        <v>50</v>
      </c>
      <c r="W19" s="111">
        <v>50</v>
      </c>
      <c r="X19" s="112">
        <v>50.34</v>
      </c>
      <c r="Y19" s="110">
        <v>42</v>
      </c>
      <c r="Z19" s="111">
        <v>48</v>
      </c>
      <c r="AA19" s="112">
        <v>47.29</v>
      </c>
      <c r="AB19" s="110">
        <v>47</v>
      </c>
      <c r="AC19" s="111">
        <v>50</v>
      </c>
      <c r="AD19" s="112">
        <v>49.22</v>
      </c>
      <c r="AF19" s="110">
        <v>69</v>
      </c>
      <c r="AG19" s="111">
        <v>113</v>
      </c>
      <c r="AH19" s="112">
        <v>112.5</v>
      </c>
      <c r="AI19" s="110">
        <v>85</v>
      </c>
      <c r="AJ19" s="111">
        <v>126</v>
      </c>
      <c r="AK19" s="112">
        <v>123</v>
      </c>
    </row>
    <row r="20" spans="1:37">
      <c r="A20" s="110">
        <v>45</v>
      </c>
      <c r="B20" s="111">
        <v>49</v>
      </c>
      <c r="C20" s="112">
        <v>48.43</v>
      </c>
      <c r="D20" s="110">
        <v>53</v>
      </c>
      <c r="E20" s="111">
        <v>51</v>
      </c>
      <c r="F20" s="112">
        <v>51.45</v>
      </c>
      <c r="G20" s="110">
        <v>44</v>
      </c>
      <c r="H20" s="111">
        <v>47</v>
      </c>
      <c r="I20" s="112">
        <v>48.04</v>
      </c>
      <c r="J20" s="110">
        <v>50</v>
      </c>
      <c r="K20" s="111">
        <v>51</v>
      </c>
      <c r="L20" s="112">
        <v>50.34</v>
      </c>
      <c r="M20" s="110">
        <v>42</v>
      </c>
      <c r="N20" s="111">
        <v>49</v>
      </c>
      <c r="O20" s="112">
        <v>47.29</v>
      </c>
      <c r="P20" s="110">
        <v>43</v>
      </c>
      <c r="Q20" s="111">
        <v>48</v>
      </c>
      <c r="R20" s="112">
        <v>47.67</v>
      </c>
      <c r="S20" s="110">
        <v>47</v>
      </c>
      <c r="T20" s="111">
        <v>48</v>
      </c>
      <c r="U20" s="112">
        <v>49.22</v>
      </c>
      <c r="V20" s="110">
        <v>47</v>
      </c>
      <c r="W20" s="111">
        <v>49</v>
      </c>
      <c r="X20" s="112">
        <v>49.22</v>
      </c>
      <c r="Y20" s="110">
        <v>40</v>
      </c>
      <c r="Z20" s="111">
        <v>47</v>
      </c>
      <c r="AA20" s="112">
        <v>46.54</v>
      </c>
      <c r="AB20" s="110">
        <v>45</v>
      </c>
      <c r="AC20" s="111">
        <v>49</v>
      </c>
      <c r="AD20" s="112">
        <v>48.43</v>
      </c>
      <c r="AF20" s="110">
        <v>67</v>
      </c>
      <c r="AG20" s="111">
        <v>112</v>
      </c>
      <c r="AH20" s="112">
        <v>111.5</v>
      </c>
      <c r="AI20" s="110">
        <v>84</v>
      </c>
      <c r="AJ20" s="111">
        <v>125</v>
      </c>
      <c r="AK20" s="112">
        <v>122.5</v>
      </c>
    </row>
    <row r="21" spans="1:37">
      <c r="A21" s="110">
        <v>42</v>
      </c>
      <c r="B21" s="111">
        <v>48</v>
      </c>
      <c r="C21" s="112">
        <v>47.29</v>
      </c>
      <c r="D21" s="110">
        <v>51</v>
      </c>
      <c r="E21" s="111">
        <v>50</v>
      </c>
      <c r="F21" s="112">
        <v>50.72</v>
      </c>
      <c r="G21" s="110">
        <v>42</v>
      </c>
      <c r="H21" s="111">
        <v>46</v>
      </c>
      <c r="I21" s="112">
        <v>47.29</v>
      </c>
      <c r="J21" s="110">
        <v>47</v>
      </c>
      <c r="K21" s="111">
        <v>50</v>
      </c>
      <c r="L21" s="112">
        <v>49.22</v>
      </c>
      <c r="M21" s="110">
        <v>39</v>
      </c>
      <c r="N21" s="111">
        <v>48</v>
      </c>
      <c r="O21" s="112">
        <v>46.19</v>
      </c>
      <c r="P21" s="110">
        <v>41</v>
      </c>
      <c r="Q21" s="111">
        <v>47</v>
      </c>
      <c r="R21" s="112">
        <v>46.9</v>
      </c>
      <c r="S21" s="110">
        <v>44</v>
      </c>
      <c r="T21" s="111">
        <v>47</v>
      </c>
      <c r="U21" s="112">
        <v>48.04</v>
      </c>
      <c r="V21" s="110">
        <v>45</v>
      </c>
      <c r="W21" s="111">
        <v>48</v>
      </c>
      <c r="X21" s="112">
        <v>48.43</v>
      </c>
      <c r="Y21" s="110">
        <v>37</v>
      </c>
      <c r="Z21" s="111">
        <v>46</v>
      </c>
      <c r="AA21" s="112">
        <v>45.47</v>
      </c>
      <c r="AB21" s="110">
        <v>42</v>
      </c>
      <c r="AC21" s="111">
        <v>48</v>
      </c>
      <c r="AD21" s="112">
        <v>47.29</v>
      </c>
      <c r="AF21" s="110">
        <v>64</v>
      </c>
      <c r="AG21" s="111">
        <v>111</v>
      </c>
      <c r="AH21" s="112">
        <v>110</v>
      </c>
      <c r="AI21" s="110">
        <v>83</v>
      </c>
      <c r="AJ21" s="111">
        <v>124</v>
      </c>
      <c r="AK21" s="112">
        <v>122</v>
      </c>
    </row>
    <row r="22" spans="1:37">
      <c r="A22" s="110">
        <v>38</v>
      </c>
      <c r="B22" s="111">
        <v>47</v>
      </c>
      <c r="C22" s="112">
        <v>45.83</v>
      </c>
      <c r="D22" s="110">
        <v>49</v>
      </c>
      <c r="E22" s="111">
        <v>49</v>
      </c>
      <c r="F22" s="112">
        <v>49.95</v>
      </c>
      <c r="G22" s="110">
        <v>39</v>
      </c>
      <c r="H22" s="111">
        <v>45</v>
      </c>
      <c r="I22" s="112">
        <v>46.19</v>
      </c>
      <c r="J22" s="110">
        <v>44</v>
      </c>
      <c r="K22" s="111">
        <v>49</v>
      </c>
      <c r="L22" s="112">
        <v>48.04</v>
      </c>
      <c r="M22" s="110">
        <v>37</v>
      </c>
      <c r="N22" s="111">
        <v>47</v>
      </c>
      <c r="O22" s="112">
        <v>45.47</v>
      </c>
      <c r="P22" s="110">
        <v>38</v>
      </c>
      <c r="Q22" s="111">
        <v>46</v>
      </c>
      <c r="R22" s="112">
        <v>45.83</v>
      </c>
      <c r="S22" s="110">
        <v>42</v>
      </c>
      <c r="T22" s="111">
        <v>46</v>
      </c>
      <c r="U22" s="112">
        <v>47.29</v>
      </c>
      <c r="V22" s="110">
        <v>41</v>
      </c>
      <c r="W22" s="111">
        <v>47</v>
      </c>
      <c r="X22" s="112">
        <v>46.9</v>
      </c>
      <c r="Y22" s="110">
        <v>35</v>
      </c>
      <c r="Z22" s="111">
        <v>45</v>
      </c>
      <c r="AA22" s="112">
        <v>44.7</v>
      </c>
      <c r="AB22" s="110">
        <v>39</v>
      </c>
      <c r="AC22" s="111">
        <v>47</v>
      </c>
      <c r="AD22" s="112">
        <v>46.19</v>
      </c>
      <c r="AF22" s="110">
        <v>62</v>
      </c>
      <c r="AG22" s="111">
        <v>110</v>
      </c>
      <c r="AH22" s="112">
        <v>109</v>
      </c>
      <c r="AI22" s="110">
        <v>81</v>
      </c>
      <c r="AJ22" s="111">
        <v>123</v>
      </c>
      <c r="AK22" s="112">
        <v>120.33</v>
      </c>
    </row>
    <row r="23" spans="1:37">
      <c r="A23" s="110">
        <v>34</v>
      </c>
      <c r="B23" s="111">
        <v>46</v>
      </c>
      <c r="C23" s="112">
        <v>44.38</v>
      </c>
      <c r="D23" s="110">
        <v>46</v>
      </c>
      <c r="E23" s="111">
        <v>48</v>
      </c>
      <c r="F23" s="112">
        <v>48.82</v>
      </c>
      <c r="G23" s="110">
        <v>36</v>
      </c>
      <c r="H23" s="111">
        <v>44</v>
      </c>
      <c r="I23" s="112">
        <v>45.04</v>
      </c>
      <c r="J23" s="110">
        <v>42</v>
      </c>
      <c r="K23" s="111">
        <v>48</v>
      </c>
      <c r="L23" s="112">
        <v>47.29</v>
      </c>
      <c r="M23" s="110">
        <v>35</v>
      </c>
      <c r="N23" s="111">
        <v>46</v>
      </c>
      <c r="O23" s="112">
        <v>44.7</v>
      </c>
      <c r="P23" s="110">
        <v>35</v>
      </c>
      <c r="Q23" s="111">
        <v>45</v>
      </c>
      <c r="R23" s="112">
        <v>44.7</v>
      </c>
      <c r="S23" s="110">
        <v>39</v>
      </c>
      <c r="T23" s="111">
        <v>45</v>
      </c>
      <c r="U23" s="112">
        <v>46.19</v>
      </c>
      <c r="V23" s="110">
        <v>38</v>
      </c>
      <c r="W23" s="111">
        <v>46</v>
      </c>
      <c r="X23" s="112">
        <v>45.83</v>
      </c>
      <c r="Y23" s="110">
        <v>32</v>
      </c>
      <c r="Z23" s="111">
        <v>44</v>
      </c>
      <c r="AA23" s="112">
        <v>43.78</v>
      </c>
      <c r="AB23" s="110">
        <v>37</v>
      </c>
      <c r="AC23" s="111">
        <v>46</v>
      </c>
      <c r="AD23" s="112">
        <v>45.47</v>
      </c>
      <c r="AF23" s="110">
        <v>60</v>
      </c>
      <c r="AG23" s="111">
        <v>109</v>
      </c>
      <c r="AH23" s="112">
        <v>108</v>
      </c>
      <c r="AI23" s="110">
        <v>80</v>
      </c>
      <c r="AJ23" s="111">
        <v>122</v>
      </c>
      <c r="AK23" s="112">
        <v>119.66</v>
      </c>
    </row>
    <row r="24" spans="1:37">
      <c r="A24" s="110">
        <v>31</v>
      </c>
      <c r="B24" s="111">
        <v>45</v>
      </c>
      <c r="C24" s="112">
        <v>43.48</v>
      </c>
      <c r="D24" s="110">
        <v>42</v>
      </c>
      <c r="E24" s="111">
        <v>47</v>
      </c>
      <c r="F24" s="112">
        <v>47.29</v>
      </c>
      <c r="G24" s="110">
        <v>33</v>
      </c>
      <c r="H24" s="111">
        <v>43</v>
      </c>
      <c r="I24" s="112">
        <v>44.07</v>
      </c>
      <c r="J24" s="110">
        <v>39</v>
      </c>
      <c r="K24" s="111">
        <v>47</v>
      </c>
      <c r="L24" s="112">
        <v>46.19</v>
      </c>
      <c r="M24" s="110">
        <v>33</v>
      </c>
      <c r="N24" s="111">
        <v>45</v>
      </c>
      <c r="O24" s="112">
        <v>44.07</v>
      </c>
      <c r="P24" s="110">
        <v>33</v>
      </c>
      <c r="Q24" s="111">
        <v>44</v>
      </c>
      <c r="R24" s="112">
        <v>44.07</v>
      </c>
      <c r="S24" s="110">
        <v>36</v>
      </c>
      <c r="T24" s="111">
        <v>44</v>
      </c>
      <c r="U24" s="112">
        <v>45.04</v>
      </c>
      <c r="V24" s="110">
        <v>36</v>
      </c>
      <c r="W24" s="111">
        <v>45</v>
      </c>
      <c r="X24" s="112">
        <v>45.04</v>
      </c>
      <c r="Y24" s="110">
        <v>29</v>
      </c>
      <c r="Z24" s="111">
        <v>43</v>
      </c>
      <c r="AA24" s="112">
        <v>42.81</v>
      </c>
      <c r="AB24" s="110">
        <v>34</v>
      </c>
      <c r="AC24" s="111">
        <v>45</v>
      </c>
      <c r="AD24" s="112">
        <v>44.38</v>
      </c>
      <c r="AF24" s="110">
        <v>58</v>
      </c>
      <c r="AG24" s="111">
        <v>108</v>
      </c>
      <c r="AH24" s="112">
        <v>107</v>
      </c>
      <c r="AI24" s="110">
        <v>79</v>
      </c>
      <c r="AJ24" s="111">
        <v>121</v>
      </c>
      <c r="AK24" s="112">
        <v>119</v>
      </c>
    </row>
    <row r="25" spans="1:37">
      <c r="A25" s="110">
        <v>28</v>
      </c>
      <c r="B25" s="111">
        <v>44</v>
      </c>
      <c r="C25" s="112">
        <v>42.46</v>
      </c>
      <c r="D25" s="110">
        <v>39</v>
      </c>
      <c r="E25" s="111">
        <v>46</v>
      </c>
      <c r="F25" s="112">
        <v>46.19</v>
      </c>
      <c r="G25" s="110">
        <v>30</v>
      </c>
      <c r="H25" s="111">
        <v>42</v>
      </c>
      <c r="I25" s="112">
        <v>43.16</v>
      </c>
      <c r="J25" s="110">
        <v>36</v>
      </c>
      <c r="K25" s="111">
        <v>46</v>
      </c>
      <c r="L25" s="112">
        <v>45.04</v>
      </c>
      <c r="M25" s="110">
        <v>30</v>
      </c>
      <c r="N25" s="111">
        <v>44</v>
      </c>
      <c r="O25" s="112">
        <v>43.16</v>
      </c>
      <c r="P25" s="110">
        <v>31</v>
      </c>
      <c r="Q25" s="111">
        <v>43</v>
      </c>
      <c r="R25" s="112">
        <v>43.48</v>
      </c>
      <c r="S25" s="110">
        <v>33</v>
      </c>
      <c r="T25" s="111">
        <v>43</v>
      </c>
      <c r="U25" s="112">
        <v>44.07</v>
      </c>
      <c r="V25" s="110">
        <v>33</v>
      </c>
      <c r="W25" s="111">
        <v>44</v>
      </c>
      <c r="X25" s="112">
        <v>44.07</v>
      </c>
      <c r="Y25" s="110">
        <v>27</v>
      </c>
      <c r="Z25" s="111">
        <v>42</v>
      </c>
      <c r="AA25" s="112">
        <v>42.11</v>
      </c>
      <c r="AB25" s="110">
        <v>31</v>
      </c>
      <c r="AC25" s="111">
        <v>44</v>
      </c>
      <c r="AD25" s="112">
        <v>43.48</v>
      </c>
      <c r="AF25" s="110">
        <v>56</v>
      </c>
      <c r="AG25" s="111">
        <v>107</v>
      </c>
      <c r="AH25" s="112">
        <v>106</v>
      </c>
      <c r="AI25" s="110">
        <v>78</v>
      </c>
      <c r="AJ25" s="111">
        <v>120</v>
      </c>
      <c r="AK25" s="112">
        <v>118.5</v>
      </c>
    </row>
    <row r="26" spans="1:37">
      <c r="A26" s="110">
        <v>26</v>
      </c>
      <c r="B26" s="111">
        <v>43</v>
      </c>
      <c r="C26" s="112">
        <v>41.76</v>
      </c>
      <c r="D26" s="110">
        <v>37</v>
      </c>
      <c r="E26" s="111">
        <v>45</v>
      </c>
      <c r="F26" s="112">
        <v>45.47</v>
      </c>
      <c r="G26" s="110">
        <v>26</v>
      </c>
      <c r="H26" s="111">
        <v>41</v>
      </c>
      <c r="I26" s="112">
        <v>41.76</v>
      </c>
      <c r="J26" s="110">
        <v>33</v>
      </c>
      <c r="K26" s="111">
        <v>45</v>
      </c>
      <c r="L26" s="112">
        <v>44.07</v>
      </c>
      <c r="M26" s="110">
        <v>27</v>
      </c>
      <c r="N26" s="111">
        <v>43</v>
      </c>
      <c r="O26" s="112">
        <v>42.11</v>
      </c>
      <c r="P26" s="110">
        <v>28</v>
      </c>
      <c r="Q26" s="111">
        <v>42</v>
      </c>
      <c r="R26" s="112">
        <v>42.46</v>
      </c>
      <c r="S26" s="110">
        <v>29</v>
      </c>
      <c r="T26" s="111">
        <v>42</v>
      </c>
      <c r="U26" s="112">
        <v>42.81</v>
      </c>
      <c r="V26" s="110">
        <v>30</v>
      </c>
      <c r="W26" s="111">
        <v>43</v>
      </c>
      <c r="X26" s="112">
        <v>43.16</v>
      </c>
      <c r="Y26" s="110">
        <v>24</v>
      </c>
      <c r="Z26" s="111">
        <v>41</v>
      </c>
      <c r="AA26" s="112">
        <v>41.1</v>
      </c>
      <c r="AB26" s="110">
        <v>28</v>
      </c>
      <c r="AC26" s="111">
        <v>43</v>
      </c>
      <c r="AD26" s="112">
        <v>42.46</v>
      </c>
      <c r="AF26" s="110">
        <v>54</v>
      </c>
      <c r="AG26" s="111">
        <v>106</v>
      </c>
      <c r="AH26" s="112">
        <v>105</v>
      </c>
      <c r="AI26" s="110">
        <v>76</v>
      </c>
      <c r="AJ26" s="111">
        <v>119</v>
      </c>
      <c r="AK26" s="112">
        <v>117</v>
      </c>
    </row>
    <row r="27" spans="1:37">
      <c r="A27" s="110">
        <v>23</v>
      </c>
      <c r="B27" s="111">
        <v>42</v>
      </c>
      <c r="C27" s="112">
        <v>40.79</v>
      </c>
      <c r="D27" s="110">
        <v>34</v>
      </c>
      <c r="E27" s="111">
        <v>44</v>
      </c>
      <c r="F27" s="112">
        <v>44.38</v>
      </c>
      <c r="G27" s="110">
        <v>22</v>
      </c>
      <c r="H27" s="111">
        <v>40</v>
      </c>
      <c r="I27" s="112">
        <v>40.47</v>
      </c>
      <c r="J27" s="110">
        <v>29</v>
      </c>
      <c r="K27" s="111">
        <v>44</v>
      </c>
      <c r="L27" s="112">
        <v>42.81</v>
      </c>
      <c r="M27" s="110">
        <v>25</v>
      </c>
      <c r="N27" s="111">
        <v>42</v>
      </c>
      <c r="O27" s="112">
        <v>41.41</v>
      </c>
      <c r="P27" s="110">
        <v>24</v>
      </c>
      <c r="Q27" s="111">
        <v>41</v>
      </c>
      <c r="R27" s="112">
        <v>41.1</v>
      </c>
      <c r="S27" s="110">
        <v>25</v>
      </c>
      <c r="T27" s="111">
        <v>41</v>
      </c>
      <c r="U27" s="112">
        <v>41.41</v>
      </c>
      <c r="V27" s="110">
        <v>26</v>
      </c>
      <c r="W27" s="111">
        <v>42</v>
      </c>
      <c r="X27" s="112">
        <v>41.76</v>
      </c>
      <c r="Y27" s="110">
        <v>20</v>
      </c>
      <c r="Z27" s="111">
        <v>40</v>
      </c>
      <c r="AA27" s="112">
        <v>39.799999999999997</v>
      </c>
      <c r="AB27" s="110">
        <v>26</v>
      </c>
      <c r="AC27" s="111">
        <v>42</v>
      </c>
      <c r="AD27" s="112">
        <v>41.76</v>
      </c>
      <c r="AF27" s="110">
        <v>52</v>
      </c>
      <c r="AG27" s="111">
        <v>105</v>
      </c>
      <c r="AH27" s="112">
        <v>104</v>
      </c>
      <c r="AI27" s="110">
        <v>75</v>
      </c>
      <c r="AJ27" s="111">
        <v>118</v>
      </c>
      <c r="AK27" s="112">
        <v>116</v>
      </c>
    </row>
    <row r="28" spans="1:37">
      <c r="A28" s="110">
        <v>21</v>
      </c>
      <c r="B28" s="111">
        <v>41</v>
      </c>
      <c r="C28" s="112">
        <v>40.14</v>
      </c>
      <c r="D28" s="110">
        <v>31</v>
      </c>
      <c r="E28" s="111">
        <v>43</v>
      </c>
      <c r="F28" s="112">
        <v>43.48</v>
      </c>
      <c r="G28" s="110">
        <v>19</v>
      </c>
      <c r="H28" s="111">
        <v>39</v>
      </c>
      <c r="I28" s="112">
        <v>39.450000000000003</v>
      </c>
      <c r="J28" s="110">
        <v>27</v>
      </c>
      <c r="K28" s="111">
        <v>43</v>
      </c>
      <c r="L28" s="112">
        <v>42.11</v>
      </c>
      <c r="M28" s="110">
        <v>23</v>
      </c>
      <c r="N28" s="111">
        <v>41</v>
      </c>
      <c r="O28" s="112">
        <v>40.79</v>
      </c>
      <c r="P28" s="110">
        <v>22</v>
      </c>
      <c r="Q28" s="111">
        <v>40</v>
      </c>
      <c r="R28" s="112">
        <v>40.47</v>
      </c>
      <c r="S28" s="110">
        <v>21</v>
      </c>
      <c r="T28" s="111">
        <v>40</v>
      </c>
      <c r="U28" s="112">
        <v>40.14</v>
      </c>
      <c r="V28" s="110">
        <v>24</v>
      </c>
      <c r="W28" s="111">
        <v>41</v>
      </c>
      <c r="X28" s="112">
        <v>41.1</v>
      </c>
      <c r="Y28" s="110">
        <v>18</v>
      </c>
      <c r="Z28" s="111">
        <v>39</v>
      </c>
      <c r="AA28" s="112">
        <v>39.090000000000003</v>
      </c>
      <c r="AB28" s="110">
        <v>24</v>
      </c>
      <c r="AC28" s="111">
        <v>41</v>
      </c>
      <c r="AD28" s="112">
        <v>41.1</v>
      </c>
      <c r="AF28" s="110">
        <v>50</v>
      </c>
      <c r="AG28" s="111">
        <v>104</v>
      </c>
      <c r="AH28" s="112">
        <v>103</v>
      </c>
      <c r="AI28" s="110">
        <v>74</v>
      </c>
      <c r="AJ28" s="111">
        <v>117</v>
      </c>
      <c r="AK28" s="112">
        <v>115.5</v>
      </c>
    </row>
    <row r="29" spans="1:37">
      <c r="A29" s="110">
        <v>19</v>
      </c>
      <c r="B29" s="111">
        <v>40</v>
      </c>
      <c r="C29" s="112">
        <v>39.450000000000003</v>
      </c>
      <c r="D29" s="110">
        <v>27</v>
      </c>
      <c r="E29" s="111">
        <v>42</v>
      </c>
      <c r="F29" s="112">
        <v>42.11</v>
      </c>
      <c r="G29" s="110">
        <v>15</v>
      </c>
      <c r="H29" s="111">
        <v>38</v>
      </c>
      <c r="I29" s="112">
        <v>38.14</v>
      </c>
      <c r="J29" s="110">
        <v>24</v>
      </c>
      <c r="K29" s="111">
        <v>42</v>
      </c>
      <c r="L29" s="112">
        <v>41.1</v>
      </c>
      <c r="M29" s="110">
        <v>21</v>
      </c>
      <c r="N29" s="111">
        <v>40</v>
      </c>
      <c r="O29" s="112">
        <v>40.14</v>
      </c>
      <c r="P29" s="110">
        <v>18</v>
      </c>
      <c r="Q29" s="111">
        <v>39</v>
      </c>
      <c r="R29" s="112">
        <v>39.090000000000003</v>
      </c>
      <c r="S29" s="110">
        <v>17</v>
      </c>
      <c r="T29" s="111">
        <v>39</v>
      </c>
      <c r="U29" s="112">
        <v>38.78</v>
      </c>
      <c r="V29" s="110">
        <v>21</v>
      </c>
      <c r="W29" s="111">
        <v>40</v>
      </c>
      <c r="X29" s="112">
        <v>40.14</v>
      </c>
      <c r="Y29" s="110">
        <v>16</v>
      </c>
      <c r="Z29" s="111">
        <v>38</v>
      </c>
      <c r="AA29" s="112">
        <v>38.47</v>
      </c>
      <c r="AB29" s="110">
        <v>21</v>
      </c>
      <c r="AC29" s="111">
        <v>40</v>
      </c>
      <c r="AD29" s="112">
        <v>40.14</v>
      </c>
      <c r="AF29" s="110">
        <v>49</v>
      </c>
      <c r="AG29" s="111">
        <v>103</v>
      </c>
      <c r="AH29" s="112">
        <v>102.5</v>
      </c>
      <c r="AI29" s="110">
        <v>73</v>
      </c>
      <c r="AJ29" s="111">
        <v>116</v>
      </c>
      <c r="AK29" s="112">
        <v>115</v>
      </c>
    </row>
    <row r="30" spans="1:37">
      <c r="A30" s="110">
        <v>17</v>
      </c>
      <c r="B30" s="111">
        <v>39</v>
      </c>
      <c r="C30" s="112">
        <v>38.78</v>
      </c>
      <c r="D30" s="110">
        <v>22</v>
      </c>
      <c r="E30" s="111">
        <v>41</v>
      </c>
      <c r="F30" s="112">
        <v>40.47</v>
      </c>
      <c r="G30" s="110">
        <v>11</v>
      </c>
      <c r="H30" s="111">
        <v>37</v>
      </c>
      <c r="I30" s="112">
        <v>36.799999999999997</v>
      </c>
      <c r="J30" s="110">
        <v>22</v>
      </c>
      <c r="K30" s="111">
        <v>41</v>
      </c>
      <c r="L30" s="112">
        <v>40.47</v>
      </c>
      <c r="M30" s="110">
        <v>18</v>
      </c>
      <c r="N30" s="111">
        <v>39</v>
      </c>
      <c r="O30" s="112">
        <v>39.090000000000003</v>
      </c>
      <c r="P30" s="110">
        <v>15</v>
      </c>
      <c r="Q30" s="111">
        <v>38</v>
      </c>
      <c r="R30" s="112">
        <v>38.14</v>
      </c>
      <c r="S30" s="110">
        <v>14</v>
      </c>
      <c r="T30" s="111">
        <v>38</v>
      </c>
      <c r="U30" s="112">
        <v>37.840000000000003</v>
      </c>
      <c r="V30" s="110">
        <v>18</v>
      </c>
      <c r="W30" s="111">
        <v>39</v>
      </c>
      <c r="X30" s="112">
        <v>39.090000000000003</v>
      </c>
      <c r="Y30" s="110">
        <v>13</v>
      </c>
      <c r="Z30" s="111">
        <v>37</v>
      </c>
      <c r="AA30" s="112">
        <v>37.520000000000003</v>
      </c>
      <c r="AB30" s="110">
        <v>18</v>
      </c>
      <c r="AC30" s="111">
        <v>39</v>
      </c>
      <c r="AD30" s="112">
        <v>39.090000000000003</v>
      </c>
      <c r="AF30" s="110">
        <v>47</v>
      </c>
      <c r="AG30" s="111">
        <v>102</v>
      </c>
      <c r="AH30" s="112">
        <v>101</v>
      </c>
      <c r="AI30" s="110">
        <v>72</v>
      </c>
      <c r="AJ30" s="111">
        <v>115</v>
      </c>
      <c r="AK30" s="112">
        <v>114.5</v>
      </c>
    </row>
    <row r="31" spans="1:37">
      <c r="A31" s="110">
        <v>14</v>
      </c>
      <c r="B31" s="111">
        <v>38</v>
      </c>
      <c r="C31" s="112">
        <v>37.840000000000003</v>
      </c>
      <c r="D31" s="110">
        <v>19</v>
      </c>
      <c r="E31" s="111">
        <v>40</v>
      </c>
      <c r="F31" s="112">
        <v>39.450000000000003</v>
      </c>
      <c r="G31" s="110">
        <v>7</v>
      </c>
      <c r="H31" s="111">
        <v>36</v>
      </c>
      <c r="I31" s="112">
        <v>35.39</v>
      </c>
      <c r="J31" s="110">
        <v>20</v>
      </c>
      <c r="K31" s="111">
        <v>40</v>
      </c>
      <c r="L31" s="112">
        <v>39.799999999999997</v>
      </c>
      <c r="M31" s="110">
        <v>15</v>
      </c>
      <c r="N31" s="111">
        <v>38</v>
      </c>
      <c r="O31" s="112">
        <v>38.14</v>
      </c>
      <c r="P31" s="110">
        <v>13</v>
      </c>
      <c r="Q31" s="111">
        <v>37</v>
      </c>
      <c r="R31" s="112">
        <v>37.520000000000003</v>
      </c>
      <c r="S31" s="110">
        <v>10</v>
      </c>
      <c r="T31" s="111">
        <v>37</v>
      </c>
      <c r="U31" s="112">
        <v>36.43</v>
      </c>
      <c r="V31" s="110">
        <v>14</v>
      </c>
      <c r="W31" s="111">
        <v>38</v>
      </c>
      <c r="X31" s="112">
        <v>37.840000000000003</v>
      </c>
      <c r="Y31" s="110">
        <v>10</v>
      </c>
      <c r="Z31" s="111">
        <v>36</v>
      </c>
      <c r="AA31" s="112">
        <v>36.43</v>
      </c>
      <c r="AB31" s="110">
        <v>16</v>
      </c>
      <c r="AC31" s="111">
        <v>38</v>
      </c>
      <c r="AD31" s="112">
        <v>38.47</v>
      </c>
      <c r="AF31" s="110">
        <v>45</v>
      </c>
      <c r="AG31" s="111">
        <v>101</v>
      </c>
      <c r="AH31" s="112">
        <v>100</v>
      </c>
      <c r="AI31" s="110">
        <v>72</v>
      </c>
      <c r="AJ31" s="111">
        <v>114</v>
      </c>
      <c r="AK31" s="112">
        <v>114</v>
      </c>
    </row>
    <row r="32" spans="1:37">
      <c r="A32" s="110">
        <v>11</v>
      </c>
      <c r="B32" s="111">
        <v>37</v>
      </c>
      <c r="C32" s="112">
        <v>36.799999999999997</v>
      </c>
      <c r="D32" s="110">
        <v>17</v>
      </c>
      <c r="E32" s="111">
        <v>39</v>
      </c>
      <c r="F32" s="112">
        <v>38.78</v>
      </c>
      <c r="G32" s="110">
        <v>4</v>
      </c>
      <c r="H32" s="111">
        <v>35</v>
      </c>
      <c r="I32" s="112">
        <v>33.909999999999997</v>
      </c>
      <c r="J32" s="110">
        <v>17</v>
      </c>
      <c r="K32" s="111">
        <v>39</v>
      </c>
      <c r="L32" s="112">
        <v>38.78</v>
      </c>
      <c r="M32" s="110">
        <v>13</v>
      </c>
      <c r="N32" s="111">
        <v>37</v>
      </c>
      <c r="O32" s="112">
        <v>37.520000000000003</v>
      </c>
      <c r="P32" s="110">
        <v>11</v>
      </c>
      <c r="Q32" s="111">
        <v>36</v>
      </c>
      <c r="R32" s="112">
        <v>36.799999999999997</v>
      </c>
      <c r="S32" s="110">
        <v>6</v>
      </c>
      <c r="T32" s="111">
        <v>36</v>
      </c>
      <c r="U32" s="112">
        <v>34.869999999999997</v>
      </c>
      <c r="V32" s="110">
        <v>12</v>
      </c>
      <c r="W32" s="111">
        <v>37</v>
      </c>
      <c r="X32" s="112">
        <v>37.18</v>
      </c>
      <c r="Y32" s="110">
        <v>8</v>
      </c>
      <c r="Z32" s="111">
        <v>35</v>
      </c>
      <c r="AA32" s="112">
        <v>35.75</v>
      </c>
      <c r="AB32" s="110">
        <v>14</v>
      </c>
      <c r="AC32" s="111">
        <v>37</v>
      </c>
      <c r="AD32" s="112">
        <v>37.840000000000003</v>
      </c>
      <c r="AF32" s="110">
        <v>43</v>
      </c>
      <c r="AG32" s="111">
        <v>100</v>
      </c>
      <c r="AH32" s="112">
        <v>99</v>
      </c>
      <c r="AI32" s="110">
        <v>70</v>
      </c>
      <c r="AJ32" s="111">
        <v>113</v>
      </c>
      <c r="AK32" s="112">
        <v>113.5</v>
      </c>
    </row>
    <row r="33" spans="1:37">
      <c r="A33" s="110">
        <v>10</v>
      </c>
      <c r="B33" s="111">
        <v>36</v>
      </c>
      <c r="C33" s="112">
        <v>36.43</v>
      </c>
      <c r="D33" s="110">
        <v>14</v>
      </c>
      <c r="E33" s="111">
        <v>38</v>
      </c>
      <c r="F33" s="112">
        <v>37.840000000000003</v>
      </c>
      <c r="G33" s="110">
        <v>2</v>
      </c>
      <c r="H33" s="111">
        <v>34</v>
      </c>
      <c r="I33" s="112">
        <v>32.31</v>
      </c>
      <c r="J33" s="110">
        <v>15</v>
      </c>
      <c r="K33" s="111">
        <v>38</v>
      </c>
      <c r="L33" s="112">
        <v>38.14</v>
      </c>
      <c r="M33" s="110">
        <v>11</v>
      </c>
      <c r="N33" s="111">
        <v>36</v>
      </c>
      <c r="O33" s="112">
        <v>36.799999999999997</v>
      </c>
      <c r="P33" s="110">
        <v>7</v>
      </c>
      <c r="Q33" s="111">
        <v>35</v>
      </c>
      <c r="R33" s="112">
        <v>35.39</v>
      </c>
      <c r="S33" s="110">
        <v>4</v>
      </c>
      <c r="T33" s="111">
        <v>35</v>
      </c>
      <c r="U33" s="112">
        <v>33.909999999999997</v>
      </c>
      <c r="V33" s="110">
        <v>8</v>
      </c>
      <c r="W33" s="111">
        <v>36</v>
      </c>
      <c r="X33" s="112">
        <v>35.75</v>
      </c>
      <c r="Y33" s="110">
        <v>6</v>
      </c>
      <c r="Z33" s="111">
        <v>34</v>
      </c>
      <c r="AA33" s="112">
        <v>34.869999999999997</v>
      </c>
      <c r="AB33" s="110">
        <v>11</v>
      </c>
      <c r="AC33" s="111">
        <v>36</v>
      </c>
      <c r="AD33" s="112">
        <v>36.799999999999997</v>
      </c>
      <c r="AF33" s="110">
        <v>42</v>
      </c>
      <c r="AG33" s="111">
        <v>99</v>
      </c>
      <c r="AH33" s="112">
        <v>98</v>
      </c>
      <c r="AI33" s="110">
        <v>69</v>
      </c>
      <c r="AJ33" s="111">
        <v>112</v>
      </c>
      <c r="AK33" s="112">
        <v>113</v>
      </c>
    </row>
    <row r="34" spans="1:37">
      <c r="A34" s="110">
        <v>8</v>
      </c>
      <c r="B34" s="111">
        <v>35</v>
      </c>
      <c r="C34" s="112">
        <v>35.75</v>
      </c>
      <c r="D34" s="110">
        <v>10</v>
      </c>
      <c r="E34" s="111">
        <v>37</v>
      </c>
      <c r="F34" s="112">
        <v>36.43</v>
      </c>
      <c r="G34" s="110">
        <v>1</v>
      </c>
      <c r="H34" s="111">
        <v>33</v>
      </c>
      <c r="I34" s="112">
        <v>31.25</v>
      </c>
      <c r="J34" s="110">
        <v>13</v>
      </c>
      <c r="K34" s="111">
        <v>37</v>
      </c>
      <c r="L34" s="112">
        <v>37.520000000000003</v>
      </c>
      <c r="M34" s="110">
        <v>10</v>
      </c>
      <c r="N34" s="111">
        <v>35</v>
      </c>
      <c r="O34" s="112">
        <v>36.43</v>
      </c>
      <c r="P34" s="110">
        <v>5</v>
      </c>
      <c r="Q34" s="111">
        <v>34</v>
      </c>
      <c r="R34" s="112">
        <v>34.409999999999997</v>
      </c>
      <c r="S34" s="110">
        <v>2</v>
      </c>
      <c r="T34" s="111">
        <v>34</v>
      </c>
      <c r="U34" s="112">
        <v>32.31</v>
      </c>
      <c r="V34" s="110">
        <v>6</v>
      </c>
      <c r="W34" s="111">
        <v>35</v>
      </c>
      <c r="X34" s="112">
        <v>34.869999999999997</v>
      </c>
      <c r="Y34" s="110">
        <v>4</v>
      </c>
      <c r="Z34" s="111">
        <v>33</v>
      </c>
      <c r="AA34" s="112">
        <v>33.909999999999997</v>
      </c>
      <c r="AB34" s="110">
        <v>8</v>
      </c>
      <c r="AC34" s="111">
        <v>35</v>
      </c>
      <c r="AD34" s="112">
        <v>35.75</v>
      </c>
      <c r="AF34" s="110">
        <v>40</v>
      </c>
      <c r="AG34" s="111">
        <v>98</v>
      </c>
      <c r="AH34" s="112">
        <v>97</v>
      </c>
      <c r="AI34" s="110">
        <v>69</v>
      </c>
      <c r="AJ34" s="111">
        <v>111</v>
      </c>
      <c r="AK34" s="112">
        <v>112.5</v>
      </c>
    </row>
    <row r="35" spans="1:37">
      <c r="A35" s="110">
        <v>7</v>
      </c>
      <c r="B35" s="111">
        <v>34</v>
      </c>
      <c r="C35" s="112">
        <v>35.39</v>
      </c>
      <c r="D35" s="110">
        <v>7</v>
      </c>
      <c r="E35" s="111">
        <v>36</v>
      </c>
      <c r="F35" s="112">
        <v>35.39</v>
      </c>
      <c r="G35" s="110">
        <v>1</v>
      </c>
      <c r="H35" s="111">
        <v>32</v>
      </c>
      <c r="I35" s="112">
        <v>30.43</v>
      </c>
      <c r="J35" s="110">
        <v>10</v>
      </c>
      <c r="K35" s="111">
        <v>36</v>
      </c>
      <c r="L35" s="112">
        <v>36.43</v>
      </c>
      <c r="M35" s="110">
        <v>8</v>
      </c>
      <c r="N35" s="111">
        <v>34</v>
      </c>
      <c r="O35" s="112">
        <v>35.75</v>
      </c>
      <c r="P35" s="110">
        <v>3</v>
      </c>
      <c r="Q35" s="111">
        <v>33</v>
      </c>
      <c r="R35" s="112">
        <v>33.18</v>
      </c>
      <c r="S35" s="110">
        <v>1</v>
      </c>
      <c r="T35" s="111">
        <v>33</v>
      </c>
      <c r="U35" s="112">
        <v>31.25</v>
      </c>
      <c r="V35" s="110">
        <v>4</v>
      </c>
      <c r="W35" s="111">
        <v>34</v>
      </c>
      <c r="X35" s="112">
        <v>33.909999999999997</v>
      </c>
      <c r="Y35" s="110">
        <v>3</v>
      </c>
      <c r="Z35" s="111">
        <v>32</v>
      </c>
      <c r="AA35" s="112">
        <v>33.18</v>
      </c>
      <c r="AB35" s="110">
        <v>6</v>
      </c>
      <c r="AC35" s="111">
        <v>34</v>
      </c>
      <c r="AD35" s="112">
        <v>34.869999999999997</v>
      </c>
      <c r="AF35" s="110">
        <v>38</v>
      </c>
      <c r="AG35" s="111">
        <v>97</v>
      </c>
      <c r="AH35" s="112">
        <v>96</v>
      </c>
      <c r="AI35" s="110">
        <v>67</v>
      </c>
      <c r="AJ35" s="111">
        <v>110</v>
      </c>
      <c r="AK35" s="112">
        <v>112</v>
      </c>
    </row>
    <row r="36" spans="1:37" ht="17.25" thickBot="1">
      <c r="A36" s="110">
        <v>6</v>
      </c>
      <c r="B36" s="111">
        <v>33</v>
      </c>
      <c r="C36" s="112">
        <v>34.869999999999997</v>
      </c>
      <c r="D36" s="110">
        <v>5</v>
      </c>
      <c r="E36" s="111">
        <v>35</v>
      </c>
      <c r="F36" s="112">
        <v>34.409999999999997</v>
      </c>
      <c r="G36" s="113">
        <v>0</v>
      </c>
      <c r="H36" s="114" t="s">
        <v>241</v>
      </c>
      <c r="I36" s="115">
        <v>29.62</v>
      </c>
      <c r="J36" s="110">
        <v>8</v>
      </c>
      <c r="K36" s="111">
        <v>35</v>
      </c>
      <c r="L36" s="112">
        <v>35.75</v>
      </c>
      <c r="M36" s="110">
        <v>6</v>
      </c>
      <c r="N36" s="111">
        <v>33</v>
      </c>
      <c r="O36" s="112">
        <v>34.869999999999997</v>
      </c>
      <c r="P36" s="110">
        <v>2</v>
      </c>
      <c r="Q36" s="111">
        <v>32</v>
      </c>
      <c r="R36" s="112">
        <v>32.31</v>
      </c>
      <c r="S36" s="113">
        <v>0</v>
      </c>
      <c r="T36" s="114" t="s">
        <v>242</v>
      </c>
      <c r="U36" s="115">
        <v>29.62</v>
      </c>
      <c r="V36" s="110">
        <v>3</v>
      </c>
      <c r="W36" s="111">
        <v>33</v>
      </c>
      <c r="X36" s="112">
        <v>33.18</v>
      </c>
      <c r="Y36" s="110">
        <v>2</v>
      </c>
      <c r="Z36" s="111">
        <v>31</v>
      </c>
      <c r="AA36" s="112">
        <v>32.31</v>
      </c>
      <c r="AB36" s="110">
        <v>4</v>
      </c>
      <c r="AC36" s="111">
        <v>33</v>
      </c>
      <c r="AD36" s="112">
        <v>33.909999999999997</v>
      </c>
      <c r="AF36" s="110">
        <v>37</v>
      </c>
      <c r="AG36" s="111">
        <v>96</v>
      </c>
      <c r="AH36" s="112">
        <v>95</v>
      </c>
      <c r="AI36" s="110">
        <v>66</v>
      </c>
      <c r="AJ36" s="111">
        <v>109</v>
      </c>
      <c r="AK36" s="112">
        <v>111</v>
      </c>
    </row>
    <row r="37" spans="1:37">
      <c r="A37" s="110">
        <v>4</v>
      </c>
      <c r="B37" s="111">
        <v>32</v>
      </c>
      <c r="C37" s="112">
        <v>33.909999999999997</v>
      </c>
      <c r="D37" s="110">
        <v>4</v>
      </c>
      <c r="E37" s="111">
        <v>34</v>
      </c>
      <c r="F37" s="112">
        <v>33.909999999999997</v>
      </c>
      <c r="G37" s="116">
        <v>0</v>
      </c>
      <c r="H37" s="116">
        <v>0</v>
      </c>
      <c r="I37" s="116">
        <v>0</v>
      </c>
      <c r="J37" s="110">
        <v>6</v>
      </c>
      <c r="K37" s="111">
        <v>34</v>
      </c>
      <c r="L37" s="112">
        <v>34.869999999999997</v>
      </c>
      <c r="M37" s="110">
        <v>4</v>
      </c>
      <c r="N37" s="111">
        <v>32</v>
      </c>
      <c r="O37" s="112">
        <v>33.909999999999997</v>
      </c>
      <c r="P37" s="110">
        <v>1</v>
      </c>
      <c r="Q37" s="111">
        <v>31</v>
      </c>
      <c r="R37" s="112">
        <v>31.25</v>
      </c>
      <c r="S37" s="116">
        <v>0</v>
      </c>
      <c r="T37" s="116">
        <v>0</v>
      </c>
      <c r="U37" s="116">
        <v>0</v>
      </c>
      <c r="V37" s="110">
        <v>2</v>
      </c>
      <c r="W37" s="111">
        <v>32</v>
      </c>
      <c r="X37" s="112">
        <v>32.31</v>
      </c>
      <c r="Y37" s="110">
        <v>1</v>
      </c>
      <c r="Z37" s="111">
        <v>30</v>
      </c>
      <c r="AA37" s="112">
        <v>31.25</v>
      </c>
      <c r="AB37" s="110">
        <v>2</v>
      </c>
      <c r="AC37" s="111">
        <v>32</v>
      </c>
      <c r="AD37" s="112">
        <v>32.31</v>
      </c>
      <c r="AF37" s="110">
        <v>35</v>
      </c>
      <c r="AG37" s="111">
        <v>95</v>
      </c>
      <c r="AH37" s="112">
        <v>94</v>
      </c>
      <c r="AI37" s="110">
        <v>65</v>
      </c>
      <c r="AJ37" s="111">
        <v>108</v>
      </c>
      <c r="AK37" s="112">
        <v>110.5</v>
      </c>
    </row>
    <row r="38" spans="1:37">
      <c r="A38" s="110">
        <v>4</v>
      </c>
      <c r="B38" s="111">
        <v>31</v>
      </c>
      <c r="C38" s="112">
        <v>33.54</v>
      </c>
      <c r="D38" s="110">
        <v>3</v>
      </c>
      <c r="E38" s="111">
        <v>33</v>
      </c>
      <c r="F38" s="112">
        <v>33.18</v>
      </c>
      <c r="G38" s="117"/>
      <c r="H38" s="118"/>
      <c r="I38" s="119"/>
      <c r="J38" s="110">
        <v>5</v>
      </c>
      <c r="K38" s="111">
        <v>33</v>
      </c>
      <c r="L38" s="112">
        <v>34.409999999999997</v>
      </c>
      <c r="M38" s="110">
        <v>3</v>
      </c>
      <c r="N38" s="111">
        <v>31</v>
      </c>
      <c r="O38" s="112">
        <v>33.18</v>
      </c>
      <c r="P38" s="110">
        <v>1</v>
      </c>
      <c r="Q38" s="111">
        <v>30</v>
      </c>
      <c r="R38" s="112">
        <v>30.43</v>
      </c>
      <c r="S38" s="117"/>
      <c r="T38" s="118"/>
      <c r="U38" s="119"/>
      <c r="V38" s="110">
        <v>1</v>
      </c>
      <c r="W38" s="111">
        <v>31</v>
      </c>
      <c r="X38" s="112">
        <v>31.25</v>
      </c>
      <c r="Y38" s="110">
        <v>1</v>
      </c>
      <c r="Z38" s="111">
        <v>29</v>
      </c>
      <c r="AA38" s="112">
        <v>30.43</v>
      </c>
      <c r="AB38" s="110">
        <v>1</v>
      </c>
      <c r="AC38" s="111">
        <v>31</v>
      </c>
      <c r="AD38" s="112">
        <v>31.25</v>
      </c>
      <c r="AF38" s="110">
        <v>34</v>
      </c>
      <c r="AG38" s="111">
        <v>94</v>
      </c>
      <c r="AH38" s="112">
        <v>93</v>
      </c>
      <c r="AI38" s="110">
        <v>65</v>
      </c>
      <c r="AJ38" s="111">
        <v>107</v>
      </c>
      <c r="AK38" s="112">
        <v>110</v>
      </c>
    </row>
    <row r="39" spans="1:37" ht="17.25" thickBot="1">
      <c r="A39" s="110">
        <v>3</v>
      </c>
      <c r="B39" s="111">
        <v>30</v>
      </c>
      <c r="C39" s="112">
        <v>33.18</v>
      </c>
      <c r="D39" s="110">
        <v>2</v>
      </c>
      <c r="E39" s="111">
        <v>32</v>
      </c>
      <c r="F39" s="112">
        <v>32.31</v>
      </c>
      <c r="G39" s="117"/>
      <c r="H39" s="118"/>
      <c r="I39" s="119"/>
      <c r="J39" s="110">
        <v>4</v>
      </c>
      <c r="K39" s="111">
        <v>32</v>
      </c>
      <c r="L39" s="112">
        <v>33.909999999999997</v>
      </c>
      <c r="M39" s="110">
        <v>2</v>
      </c>
      <c r="N39" s="111">
        <v>30</v>
      </c>
      <c r="O39" s="112">
        <v>32.31</v>
      </c>
      <c r="P39" s="113">
        <v>0</v>
      </c>
      <c r="Q39" s="114" t="s">
        <v>246</v>
      </c>
      <c r="R39" s="115">
        <v>29.62</v>
      </c>
      <c r="S39" s="117"/>
      <c r="T39" s="118"/>
      <c r="U39" s="119"/>
      <c r="V39" s="113">
        <v>0</v>
      </c>
      <c r="W39" s="114" t="s">
        <v>244</v>
      </c>
      <c r="X39" s="115">
        <v>29.62</v>
      </c>
      <c r="Y39" s="113">
        <v>0</v>
      </c>
      <c r="Z39" s="114" t="s">
        <v>245</v>
      </c>
      <c r="AA39" s="115">
        <v>29.62</v>
      </c>
      <c r="AB39" s="110">
        <v>1</v>
      </c>
      <c r="AC39" s="111">
        <v>30</v>
      </c>
      <c r="AD39" s="112">
        <v>30.43</v>
      </c>
      <c r="AF39" s="110">
        <v>32</v>
      </c>
      <c r="AG39" s="111">
        <v>93</v>
      </c>
      <c r="AH39" s="112">
        <v>92</v>
      </c>
      <c r="AI39" s="110">
        <v>63</v>
      </c>
      <c r="AJ39" s="111">
        <v>106</v>
      </c>
      <c r="AK39" s="112">
        <v>109.5</v>
      </c>
    </row>
    <row r="40" spans="1:37" ht="17.25" thickBot="1">
      <c r="A40" s="110">
        <v>2</v>
      </c>
      <c r="B40" s="111">
        <v>29</v>
      </c>
      <c r="C40" s="112">
        <v>32.31</v>
      </c>
      <c r="D40" s="110">
        <v>1</v>
      </c>
      <c r="E40" s="111">
        <v>31</v>
      </c>
      <c r="F40" s="112">
        <v>31.25</v>
      </c>
      <c r="G40" s="117"/>
      <c r="H40" s="118"/>
      <c r="I40" s="119"/>
      <c r="J40" s="110">
        <v>3</v>
      </c>
      <c r="K40" s="111">
        <v>31</v>
      </c>
      <c r="L40" s="112">
        <v>33.18</v>
      </c>
      <c r="M40" s="110">
        <v>2</v>
      </c>
      <c r="N40" s="111">
        <v>29</v>
      </c>
      <c r="O40" s="112">
        <v>31.78</v>
      </c>
      <c r="P40" s="116">
        <v>0</v>
      </c>
      <c r="Q40" s="116">
        <v>0</v>
      </c>
      <c r="R40" s="116">
        <v>0</v>
      </c>
      <c r="S40" s="118"/>
      <c r="T40" s="118"/>
      <c r="U40" s="118"/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3">
        <v>0</v>
      </c>
      <c r="AC40" s="114" t="s">
        <v>246</v>
      </c>
      <c r="AD40" s="115">
        <v>29.62</v>
      </c>
      <c r="AF40" s="110">
        <v>31</v>
      </c>
      <c r="AG40" s="111">
        <v>92</v>
      </c>
      <c r="AH40" s="112">
        <v>91</v>
      </c>
      <c r="AI40" s="110">
        <v>62</v>
      </c>
      <c r="AJ40" s="111">
        <v>105</v>
      </c>
      <c r="AK40" s="112">
        <v>109</v>
      </c>
    </row>
    <row r="41" spans="1:37" ht="17.25" thickBot="1">
      <c r="A41" s="110">
        <v>1</v>
      </c>
      <c r="B41" s="111">
        <v>28</v>
      </c>
      <c r="C41" s="112">
        <v>31.25</v>
      </c>
      <c r="D41" s="113">
        <v>0</v>
      </c>
      <c r="E41" s="114" t="s">
        <v>244</v>
      </c>
      <c r="F41" s="115">
        <v>29.62</v>
      </c>
      <c r="G41" s="117"/>
      <c r="H41" s="118"/>
      <c r="I41" s="119"/>
      <c r="J41" s="110">
        <v>2</v>
      </c>
      <c r="K41" s="111">
        <v>30</v>
      </c>
      <c r="L41" s="112">
        <v>32.31</v>
      </c>
      <c r="M41" s="110">
        <v>1</v>
      </c>
      <c r="N41" s="111">
        <v>28</v>
      </c>
      <c r="O41" s="112">
        <v>31.25</v>
      </c>
      <c r="P41" s="117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6">
        <v>0</v>
      </c>
      <c r="AC41" s="116">
        <v>0</v>
      </c>
      <c r="AD41" s="116">
        <v>0</v>
      </c>
      <c r="AF41" s="110">
        <v>30</v>
      </c>
      <c r="AG41" s="111">
        <v>91</v>
      </c>
      <c r="AH41" s="112">
        <v>90</v>
      </c>
      <c r="AI41" s="110">
        <v>61</v>
      </c>
      <c r="AJ41" s="111">
        <v>104</v>
      </c>
      <c r="AK41" s="112">
        <v>108</v>
      </c>
    </row>
    <row r="42" spans="1:37" ht="17.25" thickBot="1">
      <c r="A42" s="110">
        <v>1</v>
      </c>
      <c r="B42" s="111">
        <v>27</v>
      </c>
      <c r="C42" s="112">
        <v>30.43</v>
      </c>
      <c r="D42" s="116">
        <v>0</v>
      </c>
      <c r="E42" s="116">
        <v>0</v>
      </c>
      <c r="F42" s="116">
        <v>0</v>
      </c>
      <c r="G42" s="118"/>
      <c r="H42" s="118"/>
      <c r="I42" s="119"/>
      <c r="J42" s="110">
        <v>1</v>
      </c>
      <c r="K42" s="111">
        <v>29</v>
      </c>
      <c r="L42" s="112">
        <v>31.25</v>
      </c>
      <c r="M42" s="113">
        <v>0</v>
      </c>
      <c r="N42" s="114" t="s">
        <v>247</v>
      </c>
      <c r="O42" s="115">
        <v>29.62</v>
      </c>
      <c r="P42" s="117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9"/>
      <c r="AF42" s="110">
        <v>28</v>
      </c>
      <c r="AG42" s="111">
        <v>90</v>
      </c>
      <c r="AH42" s="112">
        <v>89</v>
      </c>
      <c r="AI42" s="110">
        <v>60</v>
      </c>
      <c r="AJ42" s="111">
        <v>103</v>
      </c>
      <c r="AK42" s="112">
        <v>107.5</v>
      </c>
    </row>
    <row r="43" spans="1:37" ht="17.25" thickBot="1">
      <c r="A43" s="113">
        <v>0</v>
      </c>
      <c r="B43" s="114" t="s">
        <v>248</v>
      </c>
      <c r="C43" s="115">
        <v>29.62</v>
      </c>
      <c r="D43" s="117"/>
      <c r="E43" s="118"/>
      <c r="F43" s="118"/>
      <c r="G43" s="118"/>
      <c r="H43" s="118"/>
      <c r="I43" s="119"/>
      <c r="J43" s="110">
        <v>1</v>
      </c>
      <c r="K43" s="111">
        <v>28</v>
      </c>
      <c r="L43" s="112">
        <v>30.43</v>
      </c>
      <c r="M43" s="116">
        <v>0</v>
      </c>
      <c r="N43" s="116">
        <v>0</v>
      </c>
      <c r="O43" s="116">
        <v>0</v>
      </c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9"/>
      <c r="AF43" s="110">
        <v>27</v>
      </c>
      <c r="AG43" s="111">
        <v>89</v>
      </c>
      <c r="AH43" s="112">
        <v>88</v>
      </c>
      <c r="AI43" s="110">
        <v>59</v>
      </c>
      <c r="AJ43" s="111">
        <v>102</v>
      </c>
      <c r="AK43" s="112">
        <v>107</v>
      </c>
    </row>
    <row r="44" spans="1:37" ht="17.25" thickBot="1">
      <c r="A44" s="116">
        <v>0</v>
      </c>
      <c r="B44" s="116">
        <v>0</v>
      </c>
      <c r="C44" s="116">
        <v>0</v>
      </c>
      <c r="D44" s="118"/>
      <c r="E44" s="118"/>
      <c r="F44" s="118"/>
      <c r="G44" s="118"/>
      <c r="H44" s="118"/>
      <c r="I44" s="119"/>
      <c r="J44" s="113">
        <v>0</v>
      </c>
      <c r="K44" s="114" t="s">
        <v>247</v>
      </c>
      <c r="L44" s="115">
        <v>29.62</v>
      </c>
      <c r="M44" s="117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9"/>
      <c r="AF44" s="110">
        <v>26</v>
      </c>
      <c r="AG44" s="111">
        <v>88</v>
      </c>
      <c r="AH44" s="112">
        <v>87</v>
      </c>
      <c r="AI44" s="110">
        <v>58</v>
      </c>
      <c r="AJ44" s="111">
        <v>101</v>
      </c>
      <c r="AK44" s="112">
        <v>106.5</v>
      </c>
    </row>
    <row r="45" spans="1:37">
      <c r="A45" s="118"/>
      <c r="B45" s="118"/>
      <c r="C45" s="118"/>
      <c r="D45" s="118"/>
      <c r="E45" s="118"/>
      <c r="F45" s="118"/>
      <c r="G45" s="118"/>
      <c r="H45" s="118"/>
      <c r="I45" s="118"/>
      <c r="J45" s="116">
        <v>0</v>
      </c>
      <c r="K45" s="116">
        <v>0</v>
      </c>
      <c r="L45" s="116">
        <v>0</v>
      </c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9"/>
      <c r="AF45" s="110">
        <v>25</v>
      </c>
      <c r="AG45" s="111">
        <v>87</v>
      </c>
      <c r="AH45" s="112">
        <v>86</v>
      </c>
      <c r="AI45" s="110">
        <v>57</v>
      </c>
      <c r="AJ45" s="111">
        <v>100</v>
      </c>
      <c r="AK45" s="112">
        <v>106</v>
      </c>
    </row>
    <row r="46" spans="1:37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9"/>
      <c r="AF46" s="110">
        <v>23</v>
      </c>
      <c r="AG46" s="111">
        <v>86</v>
      </c>
      <c r="AH46" s="112">
        <v>85</v>
      </c>
      <c r="AI46" s="110">
        <v>55</v>
      </c>
      <c r="AJ46" s="111">
        <v>99</v>
      </c>
      <c r="AK46" s="112">
        <v>105</v>
      </c>
    </row>
    <row r="47" spans="1:37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9"/>
      <c r="AF47" s="110">
        <v>22</v>
      </c>
      <c r="AG47" s="111">
        <v>85</v>
      </c>
      <c r="AH47" s="112">
        <v>84</v>
      </c>
      <c r="AI47" s="110">
        <v>54</v>
      </c>
      <c r="AJ47" s="111">
        <v>98</v>
      </c>
      <c r="AK47" s="112">
        <v>104</v>
      </c>
    </row>
    <row r="48" spans="1:37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9"/>
      <c r="AF48" s="110">
        <v>21</v>
      </c>
      <c r="AG48" s="111">
        <v>84</v>
      </c>
      <c r="AH48" s="112">
        <v>83</v>
      </c>
      <c r="AI48" s="110">
        <v>53</v>
      </c>
      <c r="AJ48" s="111">
        <v>97</v>
      </c>
      <c r="AK48" s="112">
        <v>103.5</v>
      </c>
    </row>
    <row r="49" spans="1:37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9"/>
      <c r="AF49" s="110">
        <v>20</v>
      </c>
      <c r="AG49" s="111">
        <v>83</v>
      </c>
      <c r="AH49" s="112">
        <v>82</v>
      </c>
      <c r="AI49" s="110">
        <v>52</v>
      </c>
      <c r="AJ49" s="111">
        <v>96</v>
      </c>
      <c r="AK49" s="112">
        <v>103</v>
      </c>
    </row>
    <row r="50" spans="1:37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9"/>
      <c r="AF50" s="110">
        <v>19</v>
      </c>
      <c r="AG50" s="111">
        <v>82</v>
      </c>
      <c r="AH50" s="112">
        <v>81</v>
      </c>
      <c r="AI50" s="110">
        <v>50</v>
      </c>
      <c r="AJ50" s="111">
        <v>95</v>
      </c>
      <c r="AK50" s="112">
        <v>101.5</v>
      </c>
    </row>
    <row r="51" spans="1:37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9"/>
      <c r="AF51" s="110">
        <v>18</v>
      </c>
      <c r="AG51" s="111">
        <v>81</v>
      </c>
      <c r="AH51" s="112">
        <v>80</v>
      </c>
      <c r="AI51" s="110">
        <v>49</v>
      </c>
      <c r="AJ51" s="111">
        <v>94</v>
      </c>
      <c r="AK51" s="112">
        <v>101</v>
      </c>
    </row>
    <row r="52" spans="1:37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9"/>
      <c r="AF52" s="110">
        <v>17</v>
      </c>
      <c r="AG52" s="111">
        <v>79</v>
      </c>
      <c r="AH52" s="112">
        <v>79</v>
      </c>
      <c r="AI52" s="110">
        <v>47</v>
      </c>
      <c r="AJ52" s="111">
        <v>93</v>
      </c>
      <c r="AK52" s="112">
        <v>100</v>
      </c>
    </row>
    <row r="53" spans="1:37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9"/>
      <c r="AF53" s="110">
        <v>16</v>
      </c>
      <c r="AG53" s="111">
        <v>78</v>
      </c>
      <c r="AH53" s="112">
        <v>78</v>
      </c>
      <c r="AI53" s="110">
        <v>45</v>
      </c>
      <c r="AJ53" s="111">
        <v>92</v>
      </c>
      <c r="AK53" s="112">
        <v>98</v>
      </c>
    </row>
    <row r="54" spans="1:37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9"/>
      <c r="AF54" s="110">
        <v>15</v>
      </c>
      <c r="AG54" s="111">
        <v>77</v>
      </c>
      <c r="AH54" s="112">
        <v>77</v>
      </c>
      <c r="AI54" s="110">
        <v>44</v>
      </c>
      <c r="AJ54" s="111">
        <v>91</v>
      </c>
      <c r="AK54" s="112">
        <v>97.5</v>
      </c>
    </row>
    <row r="55" spans="1:37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9"/>
      <c r="AF55" s="110">
        <v>14</v>
      </c>
      <c r="AG55" s="111">
        <v>76</v>
      </c>
      <c r="AH55" s="112">
        <v>76</v>
      </c>
      <c r="AI55" s="110">
        <v>42</v>
      </c>
      <c r="AJ55" s="111">
        <v>90</v>
      </c>
      <c r="AK55" s="112">
        <v>96.5</v>
      </c>
    </row>
    <row r="56" spans="1:37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9"/>
      <c r="AF56" s="110">
        <v>14</v>
      </c>
      <c r="AG56" s="111">
        <v>75</v>
      </c>
      <c r="AH56" s="112">
        <v>75</v>
      </c>
      <c r="AI56" s="110">
        <v>40</v>
      </c>
      <c r="AJ56" s="111">
        <v>89</v>
      </c>
      <c r="AK56" s="112">
        <v>95</v>
      </c>
    </row>
    <row r="57" spans="1:37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9"/>
      <c r="AF57" s="110">
        <v>13</v>
      </c>
      <c r="AG57" s="111">
        <v>74</v>
      </c>
      <c r="AH57" s="112">
        <v>74</v>
      </c>
      <c r="AI57" s="110">
        <v>38</v>
      </c>
      <c r="AJ57" s="111">
        <v>88</v>
      </c>
      <c r="AK57" s="112">
        <v>93</v>
      </c>
    </row>
    <row r="58" spans="1:37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9"/>
      <c r="AF58" s="110">
        <v>12</v>
      </c>
      <c r="AG58" s="111">
        <v>73</v>
      </c>
      <c r="AH58" s="112">
        <v>73</v>
      </c>
      <c r="AI58" s="110">
        <v>36</v>
      </c>
      <c r="AJ58" s="111">
        <v>87</v>
      </c>
      <c r="AK58" s="112">
        <v>92</v>
      </c>
    </row>
    <row r="59" spans="1:37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9"/>
      <c r="AF59" s="110">
        <v>11</v>
      </c>
      <c r="AG59" s="111">
        <v>72</v>
      </c>
      <c r="AH59" s="112">
        <v>72</v>
      </c>
      <c r="AI59" s="110">
        <v>33</v>
      </c>
      <c r="AJ59" s="111">
        <v>86</v>
      </c>
      <c r="AK59" s="112">
        <v>89</v>
      </c>
    </row>
    <row r="60" spans="1:37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9"/>
      <c r="AF60" s="110">
        <v>11</v>
      </c>
      <c r="AG60" s="111">
        <v>71</v>
      </c>
      <c r="AH60" s="112">
        <v>71</v>
      </c>
      <c r="AI60" s="110">
        <v>31</v>
      </c>
      <c r="AJ60" s="111">
        <v>85</v>
      </c>
      <c r="AK60" s="112">
        <v>87.5</v>
      </c>
    </row>
    <row r="61" spans="1:37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9"/>
      <c r="AF61" s="110">
        <v>10</v>
      </c>
      <c r="AG61" s="111">
        <v>70</v>
      </c>
      <c r="AH61" s="112">
        <v>70</v>
      </c>
      <c r="AI61" s="110">
        <v>29</v>
      </c>
      <c r="AJ61" s="111">
        <v>84</v>
      </c>
      <c r="AK61" s="112">
        <v>86</v>
      </c>
    </row>
    <row r="62" spans="1:37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9"/>
      <c r="AF62" s="110">
        <v>9</v>
      </c>
      <c r="AG62" s="111">
        <v>69</v>
      </c>
      <c r="AH62" s="112">
        <v>69</v>
      </c>
      <c r="AI62" s="110">
        <v>26</v>
      </c>
      <c r="AJ62" s="111">
        <v>83</v>
      </c>
      <c r="AK62" s="112">
        <v>83</v>
      </c>
    </row>
    <row r="63" spans="1:37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9"/>
      <c r="AF63" s="110">
        <v>9</v>
      </c>
      <c r="AG63" s="111">
        <v>68</v>
      </c>
      <c r="AH63" s="112">
        <v>68</v>
      </c>
      <c r="AI63" s="110">
        <v>22</v>
      </c>
      <c r="AJ63" s="111">
        <v>82</v>
      </c>
      <c r="AK63" s="112">
        <v>80</v>
      </c>
    </row>
    <row r="64" spans="1:37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9"/>
      <c r="AF64" s="110">
        <v>8</v>
      </c>
      <c r="AG64" s="111">
        <v>67</v>
      </c>
      <c r="AH64" s="112">
        <v>67</v>
      </c>
      <c r="AI64" s="110">
        <v>20</v>
      </c>
      <c r="AJ64" s="111">
        <v>81</v>
      </c>
      <c r="AK64" s="112">
        <v>79</v>
      </c>
    </row>
    <row r="65" spans="1:37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9"/>
      <c r="AF65" s="110">
        <v>7</v>
      </c>
      <c r="AG65" s="111">
        <v>66</v>
      </c>
      <c r="AH65" s="112">
        <v>65</v>
      </c>
      <c r="AI65" s="110">
        <v>18</v>
      </c>
      <c r="AJ65" s="111">
        <v>80</v>
      </c>
      <c r="AK65" s="112">
        <v>77</v>
      </c>
    </row>
    <row r="66" spans="1:37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9"/>
      <c r="AF66" s="110">
        <v>7</v>
      </c>
      <c r="AG66" s="111">
        <v>65</v>
      </c>
      <c r="AH66" s="112">
        <v>64.5</v>
      </c>
      <c r="AI66" s="110">
        <v>15</v>
      </c>
      <c r="AJ66" s="111">
        <v>79</v>
      </c>
      <c r="AK66" s="112">
        <v>75</v>
      </c>
    </row>
    <row r="67" spans="1:37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9"/>
      <c r="AF67" s="110">
        <v>6</v>
      </c>
      <c r="AG67" s="111">
        <v>64</v>
      </c>
      <c r="AH67" s="112">
        <v>64</v>
      </c>
      <c r="AI67" s="110">
        <v>12</v>
      </c>
      <c r="AJ67" s="111">
        <v>78</v>
      </c>
      <c r="AK67" s="112">
        <v>73</v>
      </c>
    </row>
    <row r="68" spans="1:37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9"/>
      <c r="AF68" s="110">
        <v>6</v>
      </c>
      <c r="AG68" s="111">
        <v>63</v>
      </c>
      <c r="AH68" s="112">
        <v>63.5</v>
      </c>
      <c r="AI68" s="110">
        <v>10</v>
      </c>
      <c r="AJ68" s="111">
        <v>77</v>
      </c>
      <c r="AK68" s="112">
        <v>71.5</v>
      </c>
    </row>
    <row r="69" spans="1:37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9"/>
      <c r="AF69" s="110">
        <v>5</v>
      </c>
      <c r="AG69" s="111">
        <v>62</v>
      </c>
      <c r="AH69" s="112">
        <v>63</v>
      </c>
      <c r="AI69" s="110">
        <v>7</v>
      </c>
      <c r="AJ69" s="111">
        <v>76</v>
      </c>
      <c r="AK69" s="112">
        <v>69.5</v>
      </c>
    </row>
    <row r="70" spans="1:37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9"/>
      <c r="AF70" s="110">
        <v>5</v>
      </c>
      <c r="AG70" s="111">
        <v>61</v>
      </c>
      <c r="AH70" s="112">
        <v>61.5</v>
      </c>
      <c r="AI70" s="110">
        <v>5</v>
      </c>
      <c r="AJ70" s="111">
        <v>75</v>
      </c>
      <c r="AK70" s="112">
        <v>68</v>
      </c>
    </row>
    <row r="71" spans="1:37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9"/>
      <c r="AF71" s="110">
        <v>4</v>
      </c>
      <c r="AG71" s="111">
        <v>60</v>
      </c>
      <c r="AH71" s="112">
        <v>60</v>
      </c>
      <c r="AI71" s="110">
        <v>3</v>
      </c>
      <c r="AJ71" s="111">
        <v>74</v>
      </c>
      <c r="AK71" s="112">
        <v>66</v>
      </c>
    </row>
    <row r="72" spans="1:37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9"/>
      <c r="AF72" s="110">
        <v>4</v>
      </c>
      <c r="AG72" s="111">
        <v>59</v>
      </c>
      <c r="AH72" s="112">
        <v>59.33</v>
      </c>
      <c r="AI72" s="110">
        <v>2</v>
      </c>
      <c r="AJ72" s="111">
        <v>73</v>
      </c>
      <c r="AK72" s="112">
        <v>65</v>
      </c>
    </row>
    <row r="73" spans="1:37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9"/>
      <c r="AF73" s="110">
        <v>4</v>
      </c>
      <c r="AG73" s="111">
        <v>58</v>
      </c>
      <c r="AH73" s="112">
        <v>58.66</v>
      </c>
      <c r="AI73" s="110">
        <v>1</v>
      </c>
      <c r="AJ73" s="111">
        <v>72</v>
      </c>
      <c r="AK73" s="112">
        <v>64</v>
      </c>
    </row>
    <row r="74" spans="1:37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9"/>
      <c r="AF74" s="110">
        <v>3</v>
      </c>
      <c r="AG74" s="111">
        <v>57</v>
      </c>
      <c r="AH74" s="112">
        <v>58</v>
      </c>
      <c r="AI74" s="110">
        <v>1</v>
      </c>
      <c r="AJ74" s="111">
        <v>71</v>
      </c>
      <c r="AK74" s="112">
        <v>63</v>
      </c>
    </row>
    <row r="75" spans="1:37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9"/>
      <c r="AF75" s="110">
        <v>3</v>
      </c>
      <c r="AG75" s="111">
        <v>56</v>
      </c>
      <c r="AH75" s="112">
        <v>57.33</v>
      </c>
      <c r="AI75" s="110">
        <v>1</v>
      </c>
      <c r="AJ75" s="111">
        <v>70</v>
      </c>
      <c r="AK75" s="112">
        <v>62</v>
      </c>
    </row>
    <row r="76" spans="1:37" ht="17.25" thickBot="1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9"/>
      <c r="AF76" s="110">
        <v>3</v>
      </c>
      <c r="AG76" s="111">
        <v>55</v>
      </c>
      <c r="AH76" s="112">
        <v>56.66</v>
      </c>
      <c r="AI76" s="113">
        <v>0</v>
      </c>
      <c r="AJ76" s="114" t="s">
        <v>254</v>
      </c>
      <c r="AK76" s="115">
        <v>61</v>
      </c>
    </row>
    <row r="77" spans="1:37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9"/>
      <c r="AF77" s="110">
        <v>2</v>
      </c>
      <c r="AG77" s="111">
        <v>54</v>
      </c>
      <c r="AH77" s="112">
        <v>56</v>
      </c>
    </row>
    <row r="78" spans="1:37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9"/>
      <c r="AF78" s="110">
        <v>2</v>
      </c>
      <c r="AG78" s="111">
        <v>53</v>
      </c>
      <c r="AH78" s="112">
        <v>55.25</v>
      </c>
    </row>
    <row r="79" spans="1:37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9"/>
      <c r="AF79" s="110">
        <v>2</v>
      </c>
      <c r="AG79" s="111">
        <v>52</v>
      </c>
      <c r="AH79" s="112">
        <v>54.5</v>
      </c>
    </row>
    <row r="80" spans="1:37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9"/>
      <c r="AF80" s="110">
        <v>2</v>
      </c>
      <c r="AG80" s="111">
        <v>51</v>
      </c>
      <c r="AH80" s="112">
        <v>53.75</v>
      </c>
    </row>
    <row r="81" spans="1:34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9"/>
      <c r="AF81" s="110">
        <v>1</v>
      </c>
      <c r="AG81" s="111">
        <v>50</v>
      </c>
      <c r="AH81" s="112">
        <v>53</v>
      </c>
    </row>
    <row r="82" spans="1:34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9"/>
      <c r="AF82" s="110">
        <v>1</v>
      </c>
      <c r="AG82" s="111">
        <v>49</v>
      </c>
      <c r="AH82" s="112">
        <v>52</v>
      </c>
    </row>
    <row r="83" spans="1:34">
      <c r="AF83" s="110">
        <v>1</v>
      </c>
      <c r="AG83" s="111">
        <v>48</v>
      </c>
      <c r="AH83" s="112">
        <v>51</v>
      </c>
    </row>
    <row r="84" spans="1:34">
      <c r="AF84" s="110">
        <v>1</v>
      </c>
      <c r="AG84" s="111">
        <v>47</v>
      </c>
      <c r="AH84" s="112">
        <v>50</v>
      </c>
    </row>
    <row r="85" spans="1:34">
      <c r="AF85" s="110">
        <v>1</v>
      </c>
      <c r="AG85" s="111">
        <v>46</v>
      </c>
      <c r="AH85" s="112">
        <v>49</v>
      </c>
    </row>
    <row r="86" spans="1:34" ht="17.25" thickBot="1">
      <c r="AF86" s="113">
        <v>0</v>
      </c>
      <c r="AG86" s="114" t="s">
        <v>253</v>
      </c>
      <c r="AH86" s="115">
        <v>48</v>
      </c>
    </row>
  </sheetData>
  <sheetProtection algorithmName="SHA-512" hashValue="+yCBTK9H+ZTZ3okZaL7cVxsSiUT7tUZMQ5chGuXECoj+Ab352YSjZgf4lSYZtGzRcI6YwwKikcZsZHoCvy1kKA==" saltValue="QLZ0iAzWUSGnAQeVxl1Scw==" spinCount="100000" sheet="1" objects="1" scenarios="1" selectLockedCells="1" selectUnlockedCells="1"/>
  <mergeCells count="12">
    <mergeCell ref="AI1:AK1"/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F1:A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Z36"/>
  <sheetViews>
    <sheetView showGridLines="0" tabSelected="1" topLeftCell="I1" zoomScale="85" zoomScaleNormal="85" workbookViewId="0">
      <selection activeCell="H6" sqref="H6"/>
    </sheetView>
  </sheetViews>
  <sheetFormatPr defaultRowHeight="13.5"/>
  <cols>
    <col min="1" max="1" width="2.75" style="100" customWidth="1"/>
    <col min="2" max="2" width="8.75" style="100" customWidth="1"/>
    <col min="3" max="3" width="7" style="100" customWidth="1"/>
    <col min="4" max="4" width="6.5" style="100" customWidth="1"/>
    <col min="5" max="5" width="5.5" style="100" customWidth="1"/>
    <col min="6" max="7" width="8.5" style="100" customWidth="1"/>
    <col min="8" max="8" width="8.625" style="100" customWidth="1"/>
    <col min="9" max="9" width="3.625" style="100" customWidth="1"/>
    <col min="10" max="10" width="15.25" style="100" customWidth="1"/>
    <col min="11" max="11" width="8.375" style="100" customWidth="1"/>
    <col min="12" max="12" width="17.25" style="100" customWidth="1"/>
    <col min="13" max="13" width="18.75" style="100" customWidth="1"/>
    <col min="14" max="14" width="17.625" style="100" customWidth="1"/>
    <col min="15" max="15" width="11.5" style="100" customWidth="1"/>
    <col min="16" max="16" width="17.625" style="100" customWidth="1"/>
    <col min="17" max="17" width="9.5" style="100" customWidth="1"/>
    <col min="18" max="18" width="15.375" style="100" customWidth="1"/>
    <col min="19" max="19" width="18" style="100" customWidth="1"/>
    <col min="20" max="20" width="18.25" style="100" customWidth="1"/>
    <col min="21" max="21" width="13.25" style="100" customWidth="1"/>
    <col min="22" max="22" width="9" style="100"/>
    <col min="23" max="23" width="12.75" style="100" customWidth="1"/>
    <col min="24" max="24" width="11.25" style="100" customWidth="1"/>
    <col min="25" max="16384" width="9" style="100"/>
  </cols>
  <sheetData>
    <row r="2" spans="2:26" ht="13.5" customHeight="1">
      <c r="J2" s="265" t="s">
        <v>1623</v>
      </c>
      <c r="K2" s="266"/>
      <c r="L2" s="266"/>
      <c r="M2" s="266"/>
      <c r="N2" s="266"/>
      <c r="O2" s="266"/>
      <c r="P2" s="266"/>
      <c r="Q2" s="266"/>
      <c r="R2" s="266"/>
      <c r="S2" s="267"/>
    </row>
    <row r="3" spans="2:26" ht="13.5" customHeight="1">
      <c r="J3" s="268"/>
      <c r="K3" s="269"/>
      <c r="L3" s="269"/>
      <c r="M3" s="269"/>
      <c r="N3" s="269"/>
      <c r="O3" s="269"/>
      <c r="P3" s="269"/>
      <c r="Q3" s="269"/>
      <c r="R3" s="269"/>
      <c r="S3" s="270"/>
    </row>
    <row r="5" spans="2:26" ht="16.5" customHeight="1">
      <c r="B5" s="167" t="s">
        <v>214</v>
      </c>
      <c r="C5" s="101" t="s">
        <v>40</v>
      </c>
      <c r="D5" s="101" t="s">
        <v>41</v>
      </c>
      <c r="E5" s="101" t="s">
        <v>6</v>
      </c>
      <c r="F5" s="166"/>
      <c r="G5" s="166"/>
      <c r="H5" s="166"/>
      <c r="J5" s="248" t="s">
        <v>212</v>
      </c>
      <c r="K5" s="249" t="s">
        <v>1572</v>
      </c>
      <c r="L5" s="250" t="s">
        <v>1556</v>
      </c>
      <c r="M5" s="251" t="s">
        <v>1615</v>
      </c>
      <c r="N5" s="251" t="s">
        <v>1616</v>
      </c>
      <c r="O5" s="103"/>
      <c r="P5" s="248" t="s">
        <v>213</v>
      </c>
      <c r="Q5" s="249" t="s">
        <v>1573</v>
      </c>
      <c r="R5" s="250" t="s">
        <v>1556</v>
      </c>
      <c r="S5" s="251" t="s">
        <v>1615</v>
      </c>
      <c r="T5" s="251" t="s">
        <v>1616</v>
      </c>
      <c r="V5" s="102"/>
    </row>
    <row r="6" spans="2:26">
      <c r="B6" s="167" t="s">
        <v>16</v>
      </c>
      <c r="C6" s="104">
        <v>131</v>
      </c>
      <c r="D6" s="104">
        <v>143</v>
      </c>
      <c r="E6" s="104">
        <v>129</v>
      </c>
      <c r="F6" s="104">
        <v>60</v>
      </c>
      <c r="G6" s="104">
        <v>66</v>
      </c>
      <c r="H6" s="104"/>
      <c r="J6" s="252" t="s">
        <v>199</v>
      </c>
      <c r="K6" s="253">
        <f>계산내역상세!I16</f>
        <v>332.3857142857143</v>
      </c>
      <c r="L6" s="254" t="str">
        <f ca="1">계산내역상세!K16</f>
        <v>0.3%~0.4%</v>
      </c>
      <c r="M6" s="251" t="str">
        <f ca="1">계산내역상세!L16</f>
        <v>0.741%~0.771%</v>
      </c>
      <c r="N6" s="251" t="str">
        <f ca="1">칼레누적확인!H9</f>
        <v>2498등~2599등</v>
      </c>
      <c r="O6" s="103"/>
      <c r="P6" s="252" t="s">
        <v>1557</v>
      </c>
      <c r="Q6" s="253">
        <f ca="1">계산내역상세!I14</f>
        <v>531.28</v>
      </c>
      <c r="R6" s="254" t="str">
        <f ca="1">청솔누적확인!I8</f>
        <v>0.4%~0.5%</v>
      </c>
      <c r="S6" s="251" t="str">
        <f ca="1">계산내역상세!L14</f>
        <v>0.504%~0.534%</v>
      </c>
      <c r="T6" s="251" t="str">
        <f ca="1">칼레누적확인!B9</f>
        <v>1699등~1800등</v>
      </c>
      <c r="V6" s="103"/>
    </row>
    <row r="7" spans="2:26">
      <c r="B7" s="167" t="s">
        <v>215</v>
      </c>
      <c r="C7" s="172">
        <f>표백자동계산!J1</f>
        <v>100</v>
      </c>
      <c r="D7" s="172">
        <f>표백자동계산!J2</f>
        <v>100</v>
      </c>
      <c r="E7" s="172">
        <f>표백자동계산!J3</f>
        <v>96</v>
      </c>
      <c r="F7" s="172">
        <f>표백자동계산!D4</f>
        <v>75</v>
      </c>
      <c r="G7" s="172">
        <f>표백자동계산!E4</f>
        <v>98</v>
      </c>
      <c r="H7" s="172">
        <f>표백자동계산!F4</f>
        <v>0</v>
      </c>
      <c r="J7" s="252" t="s">
        <v>200</v>
      </c>
      <c r="K7" s="253">
        <f>계산내역상세!I17</f>
        <v>488.35012594458442</v>
      </c>
      <c r="L7" s="254" t="str">
        <f ca="1">계산내역상세!K17</f>
        <v>0.3%~0.4%</v>
      </c>
      <c r="M7" s="251" t="str">
        <f ca="1">계산내역상세!L17</f>
        <v>0.711%~0.741%</v>
      </c>
      <c r="N7" s="251" t="str">
        <f ca="1">칼레누적확인!K9</f>
        <v>2397등~2498등</v>
      </c>
      <c r="O7" s="103"/>
      <c r="P7" s="252" t="s">
        <v>1560</v>
      </c>
      <c r="Q7" s="253">
        <f ca="1">계산내역상세!I15</f>
        <v>527.13599999999997</v>
      </c>
      <c r="R7" s="254" t="str">
        <f ca="1">청솔누적확인!I9</f>
        <v>0.7%~0.8%</v>
      </c>
      <c r="S7" s="251" t="str">
        <f ca="1">계산내역상세!L15</f>
        <v>0.748%~0.779%</v>
      </c>
      <c r="T7" s="251" t="str">
        <f ca="1">칼레누적확인!E9</f>
        <v>1198등~1248등</v>
      </c>
      <c r="V7" s="103"/>
    </row>
    <row r="8" spans="2:26">
      <c r="B8" s="167" t="s">
        <v>216</v>
      </c>
      <c r="C8" s="173"/>
      <c r="D8" s="173"/>
      <c r="E8" s="173"/>
      <c r="F8" s="173"/>
      <c r="G8" s="173"/>
      <c r="H8" s="173"/>
      <c r="J8" s="252" t="s">
        <v>201</v>
      </c>
      <c r="K8" s="253">
        <f>계산내역상세!I20</f>
        <v>403.26</v>
      </c>
      <c r="L8" s="250"/>
      <c r="M8" s="251" t="str">
        <f ca="1">계산내역상세!L20</f>
        <v>0.385%~0.444%</v>
      </c>
      <c r="N8" s="251" t="str">
        <f ca="1">T10</f>
        <v>1298등~1497등</v>
      </c>
      <c r="O8" s="103"/>
      <c r="P8" s="252" t="s">
        <v>1561</v>
      </c>
      <c r="Q8" s="253">
        <f>계산내역상세!I18</f>
        <v>533.24400000000003</v>
      </c>
      <c r="R8" s="254" t="str">
        <f ca="1">청솔누적확인!I12</f>
        <v>0.3%~0.4%</v>
      </c>
      <c r="S8" s="251" t="str">
        <f ca="1">계산내역상세!L18</f>
        <v>0.711%~0.741%</v>
      </c>
      <c r="T8" s="251" t="str">
        <f ca="1">칼레누적확인!B17</f>
        <v>2397등~2498등</v>
      </c>
      <c r="V8" s="103"/>
    </row>
    <row r="9" spans="2:26" ht="15.75" customHeight="1">
      <c r="B9" s="273" t="s">
        <v>1583</v>
      </c>
      <c r="C9" s="273"/>
      <c r="D9" s="273"/>
      <c r="E9" s="273"/>
      <c r="F9" s="273"/>
      <c r="G9" s="273"/>
      <c r="H9" s="273"/>
      <c r="J9" s="252" t="s">
        <v>196</v>
      </c>
      <c r="K9" s="253">
        <f>계산내역상세!I21</f>
        <v>467.16599999999994</v>
      </c>
      <c r="L9" s="254" t="str">
        <f ca="1">계산내역상세!K21</f>
        <v>0.3%~0.4%</v>
      </c>
      <c r="M9" s="251" t="str">
        <f ca="1">계산내역상세!L21</f>
        <v>0.652%~0.682%</v>
      </c>
      <c r="N9" s="251" t="str">
        <f ca="1">T11</f>
        <v>2198등~2299등</v>
      </c>
      <c r="O9" s="103"/>
      <c r="P9" s="252" t="s">
        <v>1562</v>
      </c>
      <c r="Q9" s="253">
        <f>계산내역상세!I19</f>
        <v>534.44399999999996</v>
      </c>
      <c r="R9" s="254" t="str">
        <f ca="1">청솔누적확인!I13</f>
        <v>0.3%~0.4%</v>
      </c>
      <c r="S9" s="251" t="str">
        <f ca="1">계산내역상세!L19</f>
        <v>0.711%~0.741%</v>
      </c>
      <c r="T9" s="251" t="str">
        <f ca="1">칼레누적확인!E17</f>
        <v>2397등~2498등</v>
      </c>
      <c r="V9" s="103"/>
    </row>
    <row r="10" spans="2:26" ht="20.25" customHeight="1">
      <c r="B10" s="273" t="s">
        <v>1582</v>
      </c>
      <c r="C10" s="273"/>
      <c r="D10" s="273"/>
      <c r="E10" s="273"/>
      <c r="F10" s="273"/>
      <c r="G10" s="273"/>
      <c r="H10" s="273"/>
      <c r="J10" s="252" t="s">
        <v>202</v>
      </c>
      <c r="K10" s="253">
        <f>계산내역상세!I22</f>
        <v>680.91632518175811</v>
      </c>
      <c r="L10" s="250"/>
      <c r="M10" s="251" t="str">
        <f ca="1">계산내역상세!L22</f>
        <v>0.889%~0.918%</v>
      </c>
      <c r="N10" s="251" t="str">
        <f ca="1">T12</f>
        <v>2997등~3095등</v>
      </c>
      <c r="O10" s="103"/>
      <c r="P10" s="252" t="s">
        <v>1563</v>
      </c>
      <c r="Q10" s="253">
        <f>계산내역상세!I20</f>
        <v>403.26</v>
      </c>
      <c r="R10" s="250"/>
      <c r="S10" s="251" t="str">
        <f ca="1">계산내역상세!L20</f>
        <v>0.385%~0.444%</v>
      </c>
      <c r="T10" s="251" t="str">
        <f ca="1">칼레누적확인!E25</f>
        <v>1298등~1497등</v>
      </c>
      <c r="V10" s="103"/>
    </row>
    <row r="11" spans="2:26" ht="18.75" customHeight="1">
      <c r="B11" s="272" t="s">
        <v>1581</v>
      </c>
      <c r="C11" s="272"/>
      <c r="D11" s="272"/>
      <c r="E11" s="272"/>
      <c r="F11" s="272"/>
      <c r="G11" s="272"/>
      <c r="H11" s="272"/>
      <c r="J11" s="252" t="s">
        <v>203</v>
      </c>
      <c r="K11" s="253">
        <f>계산내역상세!I23</f>
        <v>680.91632518175811</v>
      </c>
      <c r="L11" s="250"/>
      <c r="M11" s="251" t="str">
        <f ca="1">계산내역상세!L23</f>
        <v>0.948%~0.978%</v>
      </c>
      <c r="N11" s="251" t="str">
        <f ca="1">T13</f>
        <v>3196등~3297등</v>
      </c>
      <c r="O11" s="103"/>
      <c r="P11" s="252" t="s">
        <v>84</v>
      </c>
      <c r="Q11" s="253">
        <f>계산내역상세!I21</f>
        <v>467.16599999999994</v>
      </c>
      <c r="R11" s="254" t="str">
        <f ca="1">L9</f>
        <v>0.3%~0.4%</v>
      </c>
      <c r="S11" s="251" t="str">
        <f ca="1">계산내역상세!L21</f>
        <v>0.652%~0.682%</v>
      </c>
      <c r="T11" s="251" t="str">
        <f ca="1">칼레누적확인!H25</f>
        <v>2198등~2299등</v>
      </c>
      <c r="V11" s="103"/>
    </row>
    <row r="12" spans="2:26">
      <c r="B12" s="272"/>
      <c r="C12" s="272"/>
      <c r="D12" s="272"/>
      <c r="E12" s="272"/>
      <c r="F12" s="272"/>
      <c r="G12" s="272"/>
      <c r="H12" s="272"/>
      <c r="J12" s="252" t="s">
        <v>204</v>
      </c>
      <c r="K12" s="253">
        <f>계산내역상세!I29</f>
        <v>581.26187705316499</v>
      </c>
      <c r="L12" s="255" t="str">
        <f ca="1">계산내역상세!K29</f>
        <v>0.6%~0.8%</v>
      </c>
      <c r="M12" s="251"/>
      <c r="N12" s="251"/>
      <c r="O12" s="103"/>
      <c r="P12" s="252" t="s">
        <v>1558</v>
      </c>
      <c r="Q12" s="253">
        <f>계산내역상세!I22/0.7</f>
        <v>972.73760740251168</v>
      </c>
      <c r="R12" s="250"/>
      <c r="S12" s="251" t="str">
        <f ca="1">계산내역상세!L22</f>
        <v>0.889%~0.918%</v>
      </c>
      <c r="T12" s="251" t="str">
        <f ca="1">칼레누적확인!H17</f>
        <v>2997등~3095등</v>
      </c>
      <c r="V12" s="103"/>
      <c r="Y12" s="103"/>
      <c r="Z12" s="103"/>
    </row>
    <row r="13" spans="2:26">
      <c r="B13" s="272"/>
      <c r="C13" s="272"/>
      <c r="D13" s="272"/>
      <c r="E13" s="272"/>
      <c r="F13" s="272"/>
      <c r="G13" s="272"/>
      <c r="H13" s="272"/>
      <c r="J13" s="252" t="s">
        <v>223</v>
      </c>
      <c r="K13" s="253">
        <f>계산내역상세!I30</f>
        <v>590.12649849231457</v>
      </c>
      <c r="L13" s="250"/>
      <c r="M13" s="251"/>
      <c r="N13" s="251"/>
      <c r="O13" s="103"/>
      <c r="P13" s="252" t="s">
        <v>85</v>
      </c>
      <c r="Q13" s="253">
        <f>계산내역상세!I23/0.7</f>
        <v>972.73760740251168</v>
      </c>
      <c r="R13" s="250"/>
      <c r="S13" s="251" t="str">
        <f ca="1">계산내역상세!L23</f>
        <v>0.948%~0.978%</v>
      </c>
      <c r="T13" s="251" t="str">
        <f ca="1">칼레누적확인!K17</f>
        <v>3196등~3297등</v>
      </c>
      <c r="V13" s="103"/>
      <c r="Y13" s="103"/>
      <c r="Z13" s="103"/>
    </row>
    <row r="14" spans="2:26" ht="16.5" customHeight="1">
      <c r="B14" s="272"/>
      <c r="C14" s="272"/>
      <c r="D14" s="272"/>
      <c r="E14" s="272"/>
      <c r="F14" s="272"/>
      <c r="G14" s="272"/>
      <c r="H14" s="272"/>
      <c r="J14" s="252" t="s">
        <v>205</v>
      </c>
      <c r="K14" s="253">
        <f>계산내역상세!I24*0.7</f>
        <v>684.49062249544215</v>
      </c>
      <c r="L14" s="254" t="str">
        <f ca="1">계산내역상세!K24</f>
        <v>0.3%~0.4%</v>
      </c>
      <c r="M14" s="256" t="str">
        <f ca="1">계산내역상세!L24</f>
        <v>0.652%~0.682%</v>
      </c>
      <c r="N14" s="256" t="str">
        <f ca="1">T14</f>
        <v>2198등~2299등</v>
      </c>
      <c r="O14" s="103"/>
      <c r="P14" s="252" t="s">
        <v>29</v>
      </c>
      <c r="Q14" s="253">
        <f>계산내역상세!I24</f>
        <v>977.84374642206035</v>
      </c>
      <c r="R14" s="254" t="str">
        <f ca="1">L14</f>
        <v>0.3%~0.4%</v>
      </c>
      <c r="S14" s="256" t="str">
        <f ca="1">M14</f>
        <v>0.652%~0.682%</v>
      </c>
      <c r="T14" s="256" t="str">
        <f ca="1">칼레누적확인!B25</f>
        <v>2198등~2299등</v>
      </c>
      <c r="U14" s="271"/>
      <c r="V14" s="271"/>
      <c r="W14" s="271"/>
      <c r="X14" s="271"/>
      <c r="Y14" s="103"/>
      <c r="Z14" s="103"/>
    </row>
    <row r="15" spans="2:26">
      <c r="B15" s="272"/>
      <c r="C15" s="272"/>
      <c r="D15" s="272"/>
      <c r="E15" s="272"/>
      <c r="F15" s="272"/>
      <c r="G15" s="272"/>
      <c r="H15" s="272"/>
      <c r="J15" s="252" t="s">
        <v>206</v>
      </c>
      <c r="K15" s="253">
        <f>계산내역상세!I25*0.7</f>
        <v>679.79006852029613</v>
      </c>
      <c r="L15" s="250"/>
      <c r="M15" s="251"/>
      <c r="N15" s="251"/>
      <c r="O15" s="103"/>
      <c r="P15" s="252" t="s">
        <v>1564</v>
      </c>
      <c r="Q15" s="253">
        <f>계산내역상세!I25</f>
        <v>971.12866931470887</v>
      </c>
      <c r="R15" s="250"/>
      <c r="S15" s="251"/>
      <c r="T15" s="251"/>
      <c r="V15" s="103"/>
      <c r="W15" s="103"/>
      <c r="X15" s="103"/>
      <c r="Y15" s="103"/>
      <c r="Z15" s="103"/>
    </row>
    <row r="16" spans="2:26">
      <c r="B16" s="272"/>
      <c r="C16" s="272"/>
      <c r="D16" s="272"/>
      <c r="E16" s="272"/>
      <c r="F16" s="272"/>
      <c r="G16" s="272"/>
      <c r="H16" s="272"/>
      <c r="J16" s="252" t="s">
        <v>207</v>
      </c>
      <c r="K16" s="253">
        <f>계산내역상세!I26</f>
        <v>465.64000000000004</v>
      </c>
      <c r="L16" s="255" t="str">
        <f ca="1">계산내역상세!K26</f>
        <v>0.4%~0.5%</v>
      </c>
      <c r="M16" s="251"/>
      <c r="N16" s="251"/>
      <c r="O16" s="103"/>
      <c r="P16" s="252" t="s">
        <v>11</v>
      </c>
      <c r="Q16" s="253">
        <f>계산내역상세!I26</f>
        <v>465.64000000000004</v>
      </c>
      <c r="R16" s="255" t="str">
        <f ca="1">L16</f>
        <v>0.4%~0.5%</v>
      </c>
      <c r="S16" s="251"/>
      <c r="T16" s="251"/>
      <c r="X16" s="103"/>
      <c r="Y16" s="103"/>
      <c r="Z16" s="103"/>
    </row>
    <row r="17" spans="2:26">
      <c r="B17" s="272"/>
      <c r="C17" s="272"/>
      <c r="D17" s="272"/>
      <c r="E17" s="272"/>
      <c r="F17" s="272"/>
      <c r="G17" s="272"/>
      <c r="H17" s="272"/>
      <c r="J17" s="252" t="s">
        <v>208</v>
      </c>
      <c r="K17" s="253">
        <f>계산내역상세!I27</f>
        <v>559.19999999999993</v>
      </c>
      <c r="L17" s="255" t="str">
        <f ca="1">계산내역상세!K27</f>
        <v>0.3%~0.4%</v>
      </c>
      <c r="M17" s="251"/>
      <c r="N17" s="251"/>
      <c r="O17" s="103"/>
      <c r="P17" s="252" t="s">
        <v>1565</v>
      </c>
      <c r="Q17" s="253">
        <f>계산내역상세!I27</f>
        <v>559.19999999999993</v>
      </c>
      <c r="R17" s="255" t="str">
        <f ca="1">L17</f>
        <v>0.3%~0.4%</v>
      </c>
      <c r="S17" s="251"/>
      <c r="T17" s="251"/>
      <c r="U17" s="229"/>
      <c r="V17" s="229"/>
      <c r="W17" s="229"/>
      <c r="X17" s="103"/>
      <c r="Y17" s="103"/>
      <c r="Z17" s="103"/>
    </row>
    <row r="18" spans="2:26">
      <c r="B18" s="272"/>
      <c r="C18" s="272"/>
      <c r="D18" s="272"/>
      <c r="E18" s="272"/>
      <c r="F18" s="272"/>
      <c r="G18" s="272"/>
      <c r="H18" s="272"/>
      <c r="J18" s="252" t="s">
        <v>170</v>
      </c>
      <c r="K18" s="253">
        <f>계산내역상세!I31/0.7</f>
        <v>663.30000000000007</v>
      </c>
      <c r="L18" s="255">
        <f>청솔누적확인!F25</f>
        <v>5.0000000000000001E-3</v>
      </c>
      <c r="M18" s="251"/>
      <c r="N18" s="251"/>
      <c r="O18" s="103"/>
      <c r="P18" s="252" t="s">
        <v>1566</v>
      </c>
      <c r="Q18" s="253">
        <f>계산내역상세!I28</f>
        <v>683.53588235294126</v>
      </c>
      <c r="R18" s="255" t="str">
        <f ca="1">계산내역상세!K28</f>
        <v>0.3%~0.4%</v>
      </c>
      <c r="S18" s="251"/>
      <c r="T18" s="251"/>
      <c r="V18" s="103"/>
      <c r="W18" s="103"/>
      <c r="X18" s="103"/>
      <c r="Y18" s="103"/>
      <c r="Z18" s="103"/>
    </row>
    <row r="19" spans="2:26">
      <c r="B19" s="272"/>
      <c r="C19" s="272"/>
      <c r="D19" s="272"/>
      <c r="E19" s="272"/>
      <c r="F19" s="272"/>
      <c r="G19" s="272"/>
      <c r="H19" s="272"/>
      <c r="J19" s="252" t="s">
        <v>209</v>
      </c>
      <c r="K19" s="253">
        <f>K18+H6*0.05</f>
        <v>663.30000000000007</v>
      </c>
      <c r="L19" s="255">
        <f>청솔누적확인!F26</f>
        <v>5.0000000000000001E-3</v>
      </c>
      <c r="M19" s="251"/>
      <c r="N19" s="251"/>
      <c r="O19" s="103"/>
      <c r="P19" s="252" t="s">
        <v>1567</v>
      </c>
      <c r="Q19" s="253">
        <f>K18</f>
        <v>663.30000000000007</v>
      </c>
      <c r="R19" s="255">
        <f>청솔누적확인!F25</f>
        <v>5.0000000000000001E-3</v>
      </c>
      <c r="S19" s="251"/>
      <c r="T19" s="251"/>
      <c r="V19" s="103"/>
      <c r="W19" s="103"/>
      <c r="X19" s="103"/>
      <c r="Y19" s="103"/>
      <c r="Z19" s="103"/>
    </row>
    <row r="20" spans="2:26">
      <c r="B20" s="272"/>
      <c r="C20" s="272"/>
      <c r="D20" s="272"/>
      <c r="E20" s="272"/>
      <c r="F20" s="272"/>
      <c r="G20" s="272"/>
      <c r="H20" s="272"/>
      <c r="J20" s="252" t="s">
        <v>210</v>
      </c>
      <c r="K20" s="253">
        <f>계산내역상세!I32</f>
        <v>659.0825000000001</v>
      </c>
      <c r="L20" s="255">
        <f>청솔누적확인!F27</f>
        <v>5.0000000000000001E-3</v>
      </c>
      <c r="M20" s="251"/>
      <c r="N20" s="251"/>
      <c r="O20" s="103"/>
      <c r="P20" s="252" t="s">
        <v>1559</v>
      </c>
      <c r="Q20" s="253">
        <f>K19</f>
        <v>663.30000000000007</v>
      </c>
      <c r="R20" s="255">
        <f>청솔누적확인!F26</f>
        <v>5.0000000000000001E-3</v>
      </c>
      <c r="S20" s="251"/>
      <c r="T20" s="251"/>
    </row>
    <row r="21" spans="2:26">
      <c r="B21" s="272"/>
      <c r="C21" s="272"/>
      <c r="D21" s="272"/>
      <c r="E21" s="272"/>
      <c r="F21" s="272"/>
      <c r="G21" s="272"/>
      <c r="H21" s="272"/>
      <c r="J21" s="252" t="s">
        <v>211</v>
      </c>
      <c r="K21" s="253">
        <f>계산내역상세!I33</f>
        <v>52.900000000000006</v>
      </c>
      <c r="L21" s="250"/>
      <c r="M21" s="251"/>
      <c r="N21" s="251"/>
      <c r="O21" s="103"/>
      <c r="P21" s="252" t="s">
        <v>1568</v>
      </c>
      <c r="Q21" s="253">
        <f>계산내역상세!I32*0.7</f>
        <v>461.35775000000001</v>
      </c>
      <c r="R21" s="255">
        <f>청솔누적확인!F27</f>
        <v>5.0000000000000001E-3</v>
      </c>
      <c r="S21" s="251"/>
      <c r="T21" s="251"/>
      <c r="U21" s="103"/>
    </row>
    <row r="22" spans="2:26">
      <c r="B22" s="272"/>
      <c r="C22" s="272"/>
      <c r="D22" s="272"/>
      <c r="E22" s="272"/>
      <c r="F22" s="272"/>
      <c r="G22" s="272"/>
      <c r="H22" s="272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</row>
    <row r="23" spans="2:26">
      <c r="B23" s="272"/>
      <c r="C23" s="272"/>
      <c r="D23" s="272"/>
      <c r="E23" s="272"/>
      <c r="F23" s="272"/>
      <c r="G23" s="272"/>
      <c r="H23" s="272"/>
      <c r="J23" s="103"/>
      <c r="K23" s="103"/>
      <c r="L23" s="103"/>
      <c r="M23" s="103"/>
      <c r="N23" s="103"/>
      <c r="O23" s="103"/>
      <c r="P23" s="248" t="s">
        <v>195</v>
      </c>
      <c r="Q23" s="257" t="s">
        <v>194</v>
      </c>
      <c r="R23" s="250" t="s">
        <v>1556</v>
      </c>
      <c r="S23" s="251" t="s">
        <v>1615</v>
      </c>
      <c r="T23" s="251" t="s">
        <v>1616</v>
      </c>
    </row>
    <row r="24" spans="2:26">
      <c r="B24" s="272"/>
      <c r="C24" s="272"/>
      <c r="D24" s="272"/>
      <c r="E24" s="272"/>
      <c r="F24" s="272"/>
      <c r="G24" s="272"/>
      <c r="H24" s="272"/>
      <c r="J24" s="263" t="s">
        <v>1605</v>
      </c>
      <c r="K24" s="264"/>
      <c r="L24" s="264"/>
      <c r="M24" s="264"/>
      <c r="N24" s="258"/>
      <c r="O24" s="103"/>
      <c r="P24" s="252" t="s">
        <v>29</v>
      </c>
      <c r="Q24" s="253">
        <f>Q14</f>
        <v>977.84374642206035</v>
      </c>
      <c r="R24" s="254" t="str">
        <f ca="1">L14</f>
        <v>0.3%~0.4%</v>
      </c>
      <c r="S24" s="256" t="str">
        <f ca="1">S14</f>
        <v>0.652%~0.682%</v>
      </c>
      <c r="T24" s="256" t="str">
        <f ca="1">T14</f>
        <v>2198등~2299등</v>
      </c>
    </row>
    <row r="25" spans="2:26">
      <c r="B25" s="272"/>
      <c r="C25" s="272"/>
      <c r="D25" s="272"/>
      <c r="E25" s="272"/>
      <c r="F25" s="272"/>
      <c r="G25" s="272"/>
      <c r="H25" s="272"/>
      <c r="J25" s="264"/>
      <c r="K25" s="264"/>
      <c r="L25" s="264"/>
      <c r="M25" s="264"/>
      <c r="N25" s="258"/>
      <c r="O25" s="103"/>
      <c r="P25" s="252" t="s">
        <v>11</v>
      </c>
      <c r="Q25" s="253">
        <f>Q16</f>
        <v>465.64000000000004</v>
      </c>
      <c r="R25" s="259" t="str">
        <f ca="1">L16</f>
        <v>0.4%~0.5%</v>
      </c>
      <c r="S25" s="251"/>
      <c r="T25" s="251"/>
    </row>
    <row r="26" spans="2:26">
      <c r="B26" s="272"/>
      <c r="C26" s="272"/>
      <c r="D26" s="272"/>
      <c r="E26" s="272"/>
      <c r="F26" s="272"/>
      <c r="G26" s="272"/>
      <c r="H26" s="272"/>
      <c r="J26" s="264"/>
      <c r="K26" s="264"/>
      <c r="L26" s="264"/>
      <c r="M26" s="264"/>
      <c r="N26" s="258"/>
      <c r="O26" s="103"/>
      <c r="P26" s="252" t="s">
        <v>1569</v>
      </c>
      <c r="Q26" s="253">
        <f>Q19*0.7</f>
        <v>464.31</v>
      </c>
      <c r="R26" s="259">
        <f>L18</f>
        <v>5.0000000000000001E-3</v>
      </c>
      <c r="S26" s="251"/>
      <c r="T26" s="251"/>
    </row>
    <row r="27" spans="2:26">
      <c r="B27" s="272"/>
      <c r="C27" s="272"/>
      <c r="D27" s="272"/>
      <c r="E27" s="272"/>
      <c r="F27" s="272"/>
      <c r="G27" s="272"/>
      <c r="H27" s="272"/>
      <c r="J27" s="103"/>
      <c r="K27" s="103"/>
      <c r="L27" s="103"/>
      <c r="M27" s="103"/>
      <c r="N27" s="103"/>
      <c r="O27" s="103"/>
      <c r="P27" s="252" t="s">
        <v>1559</v>
      </c>
      <c r="Q27" s="253">
        <f>Q19*0.7+H6*0.05</f>
        <v>464.31</v>
      </c>
      <c r="R27" s="259">
        <f>L19</f>
        <v>5.0000000000000001E-3</v>
      </c>
      <c r="S27" s="251"/>
      <c r="T27" s="251"/>
    </row>
    <row r="28" spans="2:26">
      <c r="B28" s="272"/>
      <c r="C28" s="272"/>
      <c r="D28" s="272"/>
      <c r="E28" s="272"/>
      <c r="F28" s="272"/>
      <c r="G28" s="272"/>
      <c r="H28" s="272"/>
      <c r="J28" s="103"/>
      <c r="K28" s="103"/>
      <c r="L28" s="103"/>
      <c r="M28" s="103"/>
      <c r="N28" s="103"/>
      <c r="O28" s="103"/>
      <c r="P28" s="252" t="s">
        <v>1570</v>
      </c>
      <c r="Q28" s="253">
        <f>K21*1.25</f>
        <v>66.125</v>
      </c>
      <c r="R28" s="250"/>
      <c r="S28" s="251"/>
      <c r="T28" s="251"/>
    </row>
    <row r="29" spans="2:26">
      <c r="B29" s="272"/>
      <c r="C29" s="272"/>
      <c r="D29" s="272"/>
      <c r="E29" s="272"/>
      <c r="F29" s="272"/>
      <c r="G29" s="272"/>
      <c r="H29" s="272"/>
      <c r="J29" s="103"/>
      <c r="K29" s="103"/>
      <c r="L29" s="103"/>
      <c r="M29" s="103"/>
      <c r="N29" s="103"/>
      <c r="O29" s="103"/>
      <c r="P29" s="252" t="s">
        <v>1571</v>
      </c>
      <c r="Q29" s="253">
        <f>Q18</f>
        <v>683.53588235294126</v>
      </c>
      <c r="R29" s="259" t="str">
        <f ca="1">R18</f>
        <v>0.3%~0.4%</v>
      </c>
      <c r="S29" s="251"/>
      <c r="T29" s="251"/>
    </row>
    <row r="30" spans="2:26">
      <c r="B30" s="272"/>
      <c r="C30" s="272"/>
      <c r="D30" s="272"/>
      <c r="E30" s="272"/>
      <c r="F30" s="272"/>
      <c r="G30" s="272"/>
      <c r="H30" s="272"/>
    </row>
    <row r="31" spans="2:26">
      <c r="B31" s="272"/>
      <c r="C31" s="272"/>
      <c r="D31" s="272"/>
      <c r="E31" s="272"/>
      <c r="F31" s="272"/>
      <c r="G31" s="272"/>
      <c r="H31" s="272"/>
    </row>
    <row r="32" spans="2:26">
      <c r="B32" s="272"/>
      <c r="C32" s="272"/>
      <c r="D32" s="272"/>
      <c r="E32" s="272"/>
      <c r="F32" s="272"/>
      <c r="G32" s="272"/>
      <c r="H32" s="272"/>
    </row>
    <row r="33" spans="2:8">
      <c r="B33" s="272"/>
      <c r="C33" s="272"/>
      <c r="D33" s="272"/>
      <c r="E33" s="272"/>
      <c r="F33" s="272"/>
      <c r="G33" s="272"/>
      <c r="H33" s="272"/>
    </row>
    <row r="34" spans="2:8">
      <c r="B34" s="272"/>
      <c r="C34" s="272"/>
      <c r="D34" s="272"/>
      <c r="E34" s="272"/>
      <c r="F34" s="272"/>
      <c r="G34" s="272"/>
      <c r="H34" s="272"/>
    </row>
    <row r="35" spans="2:8">
      <c r="B35" s="272"/>
      <c r="C35" s="272"/>
      <c r="D35" s="272"/>
      <c r="E35" s="272"/>
      <c r="F35" s="272"/>
      <c r="G35" s="272"/>
      <c r="H35" s="272"/>
    </row>
    <row r="36" spans="2:8">
      <c r="B36" s="272"/>
      <c r="C36" s="272"/>
      <c r="D36" s="272"/>
      <c r="E36" s="272"/>
      <c r="F36" s="272"/>
      <c r="G36" s="272"/>
      <c r="H36" s="272"/>
    </row>
  </sheetData>
  <sheetProtection selectLockedCells="1" selectUnlockedCells="1"/>
  <mergeCells count="6">
    <mergeCell ref="J24:M26"/>
    <mergeCell ref="J2:S3"/>
    <mergeCell ref="U14:X14"/>
    <mergeCell ref="B11:H36"/>
    <mergeCell ref="B10:H10"/>
    <mergeCell ref="B9:H9"/>
  </mergeCells>
  <phoneticPr fontId="1" type="noConversion"/>
  <pageMargins left="0.7" right="0.7" top="0.75" bottom="0.75" header="0.3" footer="0.3"/>
  <pageSetup paperSize="9" orientation="portrait" horizontalDpi="4294967292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5</xdr:col>
                    <xdr:colOff>38100</xdr:colOff>
                    <xdr:row>4</xdr:row>
                    <xdr:rowOff>9525</xdr:rowOff>
                  </from>
                  <to>
                    <xdr:col>5</xdr:col>
                    <xdr:colOff>628650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6</xdr:col>
                    <xdr:colOff>19050</xdr:colOff>
                    <xdr:row>4</xdr:row>
                    <xdr:rowOff>9525</xdr:rowOff>
                  </from>
                  <to>
                    <xdr:col>6</xdr:col>
                    <xdr:colOff>609600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Drop Down 3">
              <controlPr defaultSize="0" autoLine="0" autoPict="0">
                <anchor moveWithCells="1">
                  <from>
                    <xdr:col>7</xdr:col>
                    <xdr:colOff>9525</xdr:colOff>
                    <xdr:row>4</xdr:row>
                    <xdr:rowOff>19050</xdr:rowOff>
                  </from>
                  <to>
                    <xdr:col>7</xdr:col>
                    <xdr:colOff>609600</xdr:colOff>
                    <xdr:row>4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S45"/>
  <sheetViews>
    <sheetView showGridLines="0" zoomScale="85" zoomScaleNormal="85" workbookViewId="0">
      <selection activeCell="F23" sqref="E23:I29"/>
    </sheetView>
  </sheetViews>
  <sheetFormatPr defaultRowHeight="13.5"/>
  <cols>
    <col min="1" max="4" width="9" style="51"/>
    <col min="5" max="5" width="10.75" style="51" customWidth="1"/>
    <col min="6" max="6" width="11.375" style="51" customWidth="1"/>
    <col min="7" max="9" width="9" style="51"/>
    <col min="10" max="10" width="8.875" style="51" customWidth="1"/>
    <col min="11" max="13" width="9" style="51"/>
    <col min="14" max="14" width="14.875" style="51" customWidth="1"/>
    <col min="15" max="16384" width="9" style="51"/>
  </cols>
  <sheetData>
    <row r="1" spans="2:19">
      <c r="R1" s="58">
        <f>337134</f>
        <v>337134</v>
      </c>
      <c r="S1" s="51">
        <f>160174</f>
        <v>160174</v>
      </c>
    </row>
    <row r="3" spans="2:19">
      <c r="B3" s="58"/>
      <c r="C3" s="58" t="s">
        <v>80</v>
      </c>
      <c r="D3" s="58"/>
      <c r="E3" s="58"/>
      <c r="F3" s="58" t="s">
        <v>1618</v>
      </c>
      <c r="G3" s="58"/>
      <c r="H3" s="58"/>
      <c r="I3" s="58" t="s">
        <v>80</v>
      </c>
      <c r="J3" s="58"/>
      <c r="K3" s="58"/>
      <c r="L3" s="58" t="s">
        <v>80</v>
      </c>
      <c r="N3" s="69" t="s">
        <v>22</v>
      </c>
      <c r="O3" s="70" t="s">
        <v>83</v>
      </c>
    </row>
    <row r="4" spans="2:19">
      <c r="B4" s="71" t="s">
        <v>1</v>
      </c>
      <c r="C4" s="72" t="s">
        <v>78</v>
      </c>
      <c r="D4" s="58"/>
      <c r="E4" s="71" t="s">
        <v>1617</v>
      </c>
      <c r="F4" s="72" t="s">
        <v>78</v>
      </c>
      <c r="G4" s="58"/>
      <c r="H4" s="71" t="s">
        <v>26</v>
      </c>
      <c r="I4" s="72" t="s">
        <v>78</v>
      </c>
      <c r="J4" s="58"/>
      <c r="K4" s="71" t="s">
        <v>45</v>
      </c>
      <c r="L4" s="72" t="s">
        <v>81</v>
      </c>
      <c r="N4" s="69" t="s">
        <v>1</v>
      </c>
      <c r="O4" s="73">
        <f ca="1">칼레계산sheet!D8</f>
        <v>531.28</v>
      </c>
    </row>
    <row r="5" spans="2:19" ht="14.25" customHeight="1">
      <c r="B5" s="239">
        <f ca="1">칼레계산sheet!L8</f>
        <v>531.36240199999997</v>
      </c>
      <c r="C5" s="74">
        <f ca="1">칼레계산sheet!M8</f>
        <v>5.0400000000000002E-3</v>
      </c>
      <c r="D5" s="58"/>
      <c r="E5" s="239">
        <f ca="1">칼레계산sheet!L9</f>
        <v>527.29224999999997</v>
      </c>
      <c r="F5" s="74">
        <f ca="1">칼레계산sheet!M9</f>
        <v>7.4799999999999997E-3</v>
      </c>
      <c r="G5" s="58"/>
      <c r="H5" s="239">
        <f ca="1">칼레계산sheet!L10</f>
        <v>332.40855399999998</v>
      </c>
      <c r="I5" s="74">
        <f ca="1">칼레계산sheet!M10</f>
        <v>7.4099999999999999E-3</v>
      </c>
      <c r="J5" s="58"/>
      <c r="K5" s="239">
        <f ca="1">칼레계산sheet!L11</f>
        <v>488.53807899999998</v>
      </c>
      <c r="L5" s="74">
        <f ca="1">칼레계산sheet!M11</f>
        <v>7.11E-3</v>
      </c>
      <c r="N5" s="69" t="s">
        <v>3</v>
      </c>
      <c r="O5" s="73">
        <f>칼레계산sheet!D10</f>
        <v>332.3857142857143</v>
      </c>
    </row>
    <row r="6" spans="2:19">
      <c r="B6" s="240">
        <f ca="1">칼레계산sheet!$D$8</f>
        <v>531.28</v>
      </c>
      <c r="C6" s="218" t="s">
        <v>79</v>
      </c>
      <c r="D6" s="58"/>
      <c r="E6" s="240">
        <f ca="1">점수입력!Q7</f>
        <v>527.13599999999997</v>
      </c>
      <c r="F6" s="218" t="s">
        <v>79</v>
      </c>
      <c r="G6" s="58"/>
      <c r="H6" s="240">
        <f>칼레계산sheet!$D$10</f>
        <v>332.3857142857143</v>
      </c>
      <c r="I6" s="218" t="s">
        <v>79</v>
      </c>
      <c r="J6" s="58"/>
      <c r="K6" s="240">
        <f>칼레계산sheet!$D$11</f>
        <v>488.35012594458442</v>
      </c>
      <c r="L6" s="218" t="s">
        <v>79</v>
      </c>
      <c r="N6" s="69" t="s">
        <v>45</v>
      </c>
      <c r="O6" s="73">
        <f>칼레계산sheet!D11</f>
        <v>488.35012594458442</v>
      </c>
    </row>
    <row r="7" spans="2:19">
      <c r="B7" s="239">
        <f ca="1">칼레계산sheet!N8</f>
        <v>530.99645799999996</v>
      </c>
      <c r="C7" s="74">
        <f ca="1">칼레계산sheet!O8</f>
        <v>5.3400000000000001E-3</v>
      </c>
      <c r="D7" s="58"/>
      <c r="E7" s="239">
        <f ca="1">칼레계산sheet!N9</f>
        <v>527.08094300000005</v>
      </c>
      <c r="F7" s="74">
        <f ca="1">칼레계산sheet!O9</f>
        <v>7.79E-3</v>
      </c>
      <c r="G7" s="58"/>
      <c r="H7" s="239">
        <f ca="1">칼레계산sheet!N10</f>
        <v>332.26563299999998</v>
      </c>
      <c r="I7" s="74">
        <f ca="1">칼레계산sheet!O10</f>
        <v>7.7099999999999998E-3</v>
      </c>
      <c r="J7" s="58"/>
      <c r="K7" s="239">
        <f ca="1">칼레계산sheet!N11</f>
        <v>488.28855399999998</v>
      </c>
      <c r="L7" s="74">
        <f ca="1">칼레계산sheet!O11</f>
        <v>7.4099999999999999E-3</v>
      </c>
      <c r="N7" s="69" t="s">
        <v>46</v>
      </c>
      <c r="O7" s="73">
        <f>칼레계산sheet!D12</f>
        <v>533.24400000000003</v>
      </c>
    </row>
    <row r="8" spans="2:19">
      <c r="B8" s="239">
        <f ca="1">칼레계산sheet!P8</f>
        <v>530.64926300000002</v>
      </c>
      <c r="C8" s="74">
        <f ca="1">칼레계산sheet!Q8</f>
        <v>5.6299999999999996E-3</v>
      </c>
      <c r="D8" s="58"/>
      <c r="E8" s="239">
        <f ca="1">칼레계산sheet!P9</f>
        <v>526.89801299999999</v>
      </c>
      <c r="F8" s="74">
        <f ca="1">칼레계산sheet!Q9</f>
        <v>8.1099999999999992E-3</v>
      </c>
      <c r="G8" s="58"/>
      <c r="H8" s="239">
        <f ca="1">칼레계산sheet!P10</f>
        <v>332.17565400000001</v>
      </c>
      <c r="I8" s="74">
        <f ca="1">칼레계산sheet!Q10</f>
        <v>8.0000000000000002E-3</v>
      </c>
      <c r="J8" s="58"/>
      <c r="K8" s="239">
        <f ca="1">칼레계산sheet!P11</f>
        <v>488.14218799999998</v>
      </c>
      <c r="L8" s="74">
        <f ca="1">칼레계산sheet!Q11</f>
        <v>7.7099999999999998E-3</v>
      </c>
      <c r="N8" s="69" t="s">
        <v>47</v>
      </c>
      <c r="O8" s="73">
        <f>칼레계산sheet!D13</f>
        <v>534.44399999999996</v>
      </c>
    </row>
    <row r="9" spans="2:19">
      <c r="B9" s="274" t="str">
        <f ca="1">CONCATENATE(ROUND(C5*$R$1,0),"등","~",ROUND(C7*$R$1,0),"등")</f>
        <v>1699등~1800등</v>
      </c>
      <c r="C9" s="274"/>
      <c r="D9" s="58"/>
      <c r="E9" s="274" t="str">
        <f ca="1">CONCATENATE(ROUND(F5*$S$1,0),"등","~",ROUND(F7*$S$1,0),"등")</f>
        <v>1198등~1248등</v>
      </c>
      <c r="F9" s="274"/>
      <c r="G9" s="58"/>
      <c r="H9" s="274" t="str">
        <f ca="1">CONCATENATE(ROUND(I5*$R$1,0),"등","~",ROUND(I7*$R$1,0),"등")</f>
        <v>2498등~2599등</v>
      </c>
      <c r="I9" s="274"/>
      <c r="J9" s="58"/>
      <c r="K9" s="274" t="str">
        <f ca="1">CONCATENATE(ROUND(L5*$R$1,0),"등","~",ROUND(L7*$R$1,0),"등")</f>
        <v>2397등~2498등</v>
      </c>
      <c r="L9" s="274"/>
      <c r="N9" s="69" t="s">
        <v>8</v>
      </c>
      <c r="O9" s="73">
        <f>칼레계산sheet!D14</f>
        <v>403.26</v>
      </c>
    </row>
    <row r="10" spans="2:19">
      <c r="B10" s="58"/>
      <c r="C10" s="58"/>
      <c r="D10" s="58"/>
      <c r="E10" s="58"/>
      <c r="F10" s="227"/>
      <c r="G10" s="58"/>
      <c r="H10" s="58"/>
      <c r="I10" s="68"/>
      <c r="J10" s="58"/>
      <c r="K10" s="58"/>
      <c r="L10" s="227"/>
      <c r="N10" s="69" t="s">
        <v>9</v>
      </c>
      <c r="O10" s="73">
        <f>칼레계산sheet!D15</f>
        <v>467.16599999999994</v>
      </c>
    </row>
    <row r="11" spans="2:19">
      <c r="B11" s="58"/>
      <c r="C11" s="58" t="s">
        <v>80</v>
      </c>
      <c r="D11" s="58"/>
      <c r="E11" s="58"/>
      <c r="F11" s="58" t="s">
        <v>80</v>
      </c>
      <c r="G11" s="58"/>
      <c r="H11" s="58"/>
      <c r="I11" s="58" t="s">
        <v>80</v>
      </c>
      <c r="J11" s="58"/>
      <c r="K11" s="58"/>
      <c r="L11" s="58" t="s">
        <v>80</v>
      </c>
      <c r="N11" s="69" t="s">
        <v>50</v>
      </c>
      <c r="O11" s="73">
        <f>칼레계산sheet!D16</f>
        <v>680.91632518175811</v>
      </c>
    </row>
    <row r="12" spans="2:19">
      <c r="B12" s="71" t="s">
        <v>46</v>
      </c>
      <c r="C12" s="72" t="s">
        <v>78</v>
      </c>
      <c r="D12" s="58"/>
      <c r="E12" s="71" t="s">
        <v>47</v>
      </c>
      <c r="F12" s="72" t="s">
        <v>78</v>
      </c>
      <c r="G12" s="58"/>
      <c r="H12" s="71" t="s">
        <v>86</v>
      </c>
      <c r="I12" s="72" t="s">
        <v>87</v>
      </c>
      <c r="J12" s="58"/>
      <c r="K12" s="71" t="s">
        <v>85</v>
      </c>
      <c r="L12" s="72" t="s">
        <v>89</v>
      </c>
      <c r="N12" s="69" t="s">
        <v>53</v>
      </c>
      <c r="O12" s="73">
        <f>칼레계산sheet!D17</f>
        <v>680.91632518175811</v>
      </c>
    </row>
    <row r="13" spans="2:19">
      <c r="B13" s="239">
        <f ca="1">칼레계산sheet!L12</f>
        <v>533.33199999999999</v>
      </c>
      <c r="C13" s="74">
        <f ca="1">칼레계산sheet!M12</f>
        <v>7.11E-3</v>
      </c>
      <c r="D13" s="58"/>
      <c r="E13" s="239">
        <f ca="1">칼레계산sheet!L13</f>
        <v>534.53200000000004</v>
      </c>
      <c r="F13" s="74">
        <f ca="1">칼레계산sheet!M13</f>
        <v>7.11E-3</v>
      </c>
      <c r="G13" s="58"/>
      <c r="H13" s="239">
        <f ca="1">칼레계산sheet!L16</f>
        <v>681.07106922364108</v>
      </c>
      <c r="I13" s="74">
        <f ca="1">칼레계산sheet!M16</f>
        <v>8.8900000000000003E-3</v>
      </c>
      <c r="J13" s="58"/>
      <c r="K13" s="239">
        <f ca="1">칼레계산sheet!L17</f>
        <v>680.96646872146232</v>
      </c>
      <c r="L13" s="74">
        <f ca="1">칼레계산sheet!M17</f>
        <v>9.4800000000000006E-3</v>
      </c>
      <c r="N13" s="69" t="s">
        <v>10</v>
      </c>
      <c r="O13" s="73">
        <f>칼레계산sheet!D18</f>
        <v>684.49062249544215</v>
      </c>
    </row>
    <row r="14" spans="2:19">
      <c r="B14" s="240">
        <f>칼레계산sheet!$D$12</f>
        <v>533.24400000000003</v>
      </c>
      <c r="C14" s="218" t="s">
        <v>79</v>
      </c>
      <c r="D14" s="58"/>
      <c r="E14" s="240">
        <f>칼레계산sheet!$D$13</f>
        <v>534.44399999999996</v>
      </c>
      <c r="F14" s="218" t="s">
        <v>82</v>
      </c>
      <c r="G14" s="58"/>
      <c r="H14" s="240">
        <f>칼레계산sheet!$D$16</f>
        <v>680.91632518175811</v>
      </c>
      <c r="I14" s="218" t="s">
        <v>88</v>
      </c>
      <c r="J14" s="58"/>
      <c r="K14" s="240">
        <f>칼레계산sheet!$D$17</f>
        <v>680.91632518175811</v>
      </c>
      <c r="L14" s="218" t="s">
        <v>88</v>
      </c>
      <c r="N14" s="69" t="s">
        <v>55</v>
      </c>
      <c r="O14" s="73">
        <f>칼레계산sheet!D19</f>
        <v>679.79006852029613</v>
      </c>
    </row>
    <row r="15" spans="2:19">
      <c r="B15" s="239">
        <f ca="1">칼레계산sheet!N12</f>
        <v>532.97200000000009</v>
      </c>
      <c r="C15" s="74">
        <f ca="1">칼레계산sheet!O12</f>
        <v>7.4099999999999999E-3</v>
      </c>
      <c r="D15" s="58"/>
      <c r="E15" s="239">
        <f ca="1">칼레계산sheet!N13</f>
        <v>534.23199999999997</v>
      </c>
      <c r="F15" s="74">
        <f ca="1">칼레계산sheet!O13</f>
        <v>7.4099999999999999E-3</v>
      </c>
      <c r="G15" s="58"/>
      <c r="H15" s="239">
        <f ca="1">칼레계산sheet!N16</f>
        <v>680.52676801057498</v>
      </c>
      <c r="I15" s="74">
        <f ca="1">칼레계산sheet!O16</f>
        <v>9.1800000000000007E-3</v>
      </c>
      <c r="J15" s="58"/>
      <c r="K15" s="239">
        <f ca="1">칼레계산sheet!N17</f>
        <v>680.75710242543232</v>
      </c>
      <c r="L15" s="74">
        <f ca="1">칼레계산sheet!O17</f>
        <v>9.7800000000000005E-3</v>
      </c>
      <c r="N15" s="69" t="s">
        <v>11</v>
      </c>
      <c r="O15" s="73">
        <f>칼레계산sheet!D20</f>
        <v>465.64000000000004</v>
      </c>
    </row>
    <row r="16" spans="2:19">
      <c r="B16" s="239">
        <f ca="1">칼레계산sheet!P12</f>
        <v>532.69999999999993</v>
      </c>
      <c r="C16" s="74">
        <f ca="1">칼레계산sheet!Q12</f>
        <v>7.7099999999999998E-3</v>
      </c>
      <c r="D16" s="58"/>
      <c r="E16" s="239">
        <f ca="1">칼레계산sheet!P13</f>
        <v>533.98</v>
      </c>
      <c r="F16" s="74">
        <f ca="1">칼레계산sheet!Q13</f>
        <v>7.7099999999999998E-3</v>
      </c>
      <c r="G16" s="58"/>
      <c r="H16" s="239">
        <f ca="1">칼레계산sheet!P16</f>
        <v>680.22932203188304</v>
      </c>
      <c r="I16" s="74">
        <f ca="1">칼레계산sheet!Q16</f>
        <v>9.4800000000000006E-3</v>
      </c>
      <c r="J16" s="58"/>
      <c r="K16" s="239">
        <f ca="1">칼레계산sheet!P17</f>
        <v>680.44818695983417</v>
      </c>
      <c r="L16" s="74">
        <f ca="1">칼레계산sheet!Q17</f>
        <v>1.0070000000000001E-2</v>
      </c>
      <c r="N16" s="69" t="s">
        <v>58</v>
      </c>
      <c r="O16" s="73">
        <f>칼레계산sheet!D21</f>
        <v>559.19999999999993</v>
      </c>
    </row>
    <row r="17" spans="2:15">
      <c r="B17" s="274" t="str">
        <f ca="1">CONCATENATE(ROUND(C13*$R$1,0),"등","~",ROUND(C15*$R$1,0),"등")</f>
        <v>2397등~2498등</v>
      </c>
      <c r="C17" s="274"/>
      <c r="D17" s="58"/>
      <c r="E17" s="274" t="str">
        <f ca="1">CONCATENATE(ROUND(F13*$R$1,0),"등","~",ROUND(F15*$R$1,0),"등")</f>
        <v>2397등~2498등</v>
      </c>
      <c r="F17" s="274"/>
      <c r="G17" s="58"/>
      <c r="H17" s="274" t="str">
        <f ca="1">CONCATENATE(ROUND(I13*$R$1,0),"등","~",ROUND(I15*$R$1,0),"등")</f>
        <v>2997등~3095등</v>
      </c>
      <c r="I17" s="274"/>
      <c r="J17" s="58"/>
      <c r="K17" s="274" t="str">
        <f ca="1">CONCATENATE(ROUND(L13*$R$1,0),"등","~",ROUND(L15*$R$1,0),"등")</f>
        <v>3196등~3297등</v>
      </c>
      <c r="L17" s="274"/>
      <c r="N17" s="69" t="s">
        <v>12</v>
      </c>
      <c r="O17" s="73">
        <f>칼레계산sheet!D22</f>
        <v>683.53588235294126</v>
      </c>
    </row>
    <row r="18" spans="2:15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N18" s="69" t="s">
        <v>19</v>
      </c>
      <c r="O18" s="73">
        <f>칼레계산sheet!D23</f>
        <v>581.26187705316499</v>
      </c>
    </row>
    <row r="19" spans="2:15">
      <c r="B19" s="58"/>
      <c r="C19" s="58" t="s">
        <v>80</v>
      </c>
      <c r="D19" s="58"/>
      <c r="E19" s="58"/>
      <c r="F19" s="58" t="s">
        <v>80</v>
      </c>
      <c r="G19" s="58"/>
      <c r="H19" s="58"/>
      <c r="I19" s="58" t="s">
        <v>80</v>
      </c>
      <c r="J19" s="58"/>
      <c r="K19" s="58"/>
      <c r="L19" s="58"/>
      <c r="N19" s="69" t="str">
        <f>계산내역상세!B31</f>
        <v>건국대</v>
      </c>
      <c r="O19" s="73">
        <f>계산내역상세!I31</f>
        <v>464.31</v>
      </c>
    </row>
    <row r="20" spans="2:15">
      <c r="B20" s="71" t="s">
        <v>1614</v>
      </c>
      <c r="C20" s="72" t="s">
        <v>78</v>
      </c>
      <c r="D20" s="58"/>
      <c r="E20" s="71" t="s">
        <v>90</v>
      </c>
      <c r="F20" s="72" t="s">
        <v>78</v>
      </c>
      <c r="G20" s="58"/>
      <c r="H20" s="71" t="s">
        <v>84</v>
      </c>
      <c r="I20" s="72" t="s">
        <v>78</v>
      </c>
      <c r="J20" s="58"/>
      <c r="K20" s="58"/>
      <c r="L20" s="58"/>
      <c r="N20" s="69" t="str">
        <f>계산내역상세!B32</f>
        <v>동국대</v>
      </c>
      <c r="O20" s="73">
        <f>계산내역상세!I32</f>
        <v>659.0825000000001</v>
      </c>
    </row>
    <row r="21" spans="2:15">
      <c r="B21" s="239">
        <f ca="1">칼레계산sheet!L18</f>
        <v>684.63730685656526</v>
      </c>
      <c r="C21" s="74">
        <f ca="1">칼레계산sheet!M18</f>
        <v>6.5199999999999998E-3</v>
      </c>
      <c r="D21" s="58"/>
      <c r="E21" s="239">
        <f ca="1">칼레계산sheet!L14</f>
        <v>404.16</v>
      </c>
      <c r="F21" s="241">
        <f ca="1">칼레계산sheet!M14</f>
        <v>3.8500000000000001E-3</v>
      </c>
      <c r="G21" s="58"/>
      <c r="H21" s="239">
        <f ca="1">칼레계산sheet!L15</f>
        <v>467.22900267</v>
      </c>
      <c r="I21" s="74">
        <f ca="1">칼레계산sheet!M15</f>
        <v>6.5199999999999998E-3</v>
      </c>
      <c r="J21" s="58"/>
      <c r="K21" s="58"/>
      <c r="L21" s="58"/>
      <c r="N21" s="69" t="str">
        <f>계산내역상세!B33</f>
        <v>홍익대</v>
      </c>
      <c r="O21" s="73">
        <f>계산내역상세!I33</f>
        <v>52.900000000000006</v>
      </c>
    </row>
    <row r="22" spans="2:15">
      <c r="B22" s="240">
        <f>$O$13</f>
        <v>684.49062249544215</v>
      </c>
      <c r="C22" s="218" t="s">
        <v>79</v>
      </c>
      <c r="D22" s="58"/>
      <c r="E22" s="240">
        <f>칼레계산sheet!$D$14</f>
        <v>403.26</v>
      </c>
      <c r="F22" s="242" t="s">
        <v>79</v>
      </c>
      <c r="G22" s="58"/>
      <c r="H22" s="240">
        <f>칼레계산sheet!$D$15</f>
        <v>467.16599999999994</v>
      </c>
      <c r="I22" s="218" t="s">
        <v>83</v>
      </c>
      <c r="J22" s="58"/>
      <c r="K22" s="58"/>
      <c r="L22" s="58"/>
    </row>
    <row r="23" spans="2:15">
      <c r="B23" s="239">
        <f>칼레계산sheet!N18</f>
        <v>684.31817423612506</v>
      </c>
      <c r="C23" s="74">
        <f>칼레계산sheet!O18</f>
        <v>6.8199999999999997E-3</v>
      </c>
      <c r="D23" s="58"/>
      <c r="E23" s="239">
        <f ca="1">칼레계산sheet!N14</f>
        <v>403.26</v>
      </c>
      <c r="F23" s="241">
        <f ca="1">칼레계산sheet!O14</f>
        <v>4.4400000000000004E-3</v>
      </c>
      <c r="G23" s="58"/>
      <c r="H23" s="239">
        <f ca="1">칼레계산sheet!N15</f>
        <v>467.02255534</v>
      </c>
      <c r="I23" s="74">
        <f ca="1">칼레계산sheet!O15</f>
        <v>6.8199999999999997E-3</v>
      </c>
      <c r="J23" s="58"/>
      <c r="K23" s="58"/>
      <c r="L23" s="58"/>
      <c r="M23" s="78"/>
    </row>
    <row r="24" spans="2:15">
      <c r="B24" s="239">
        <f ca="1">칼레계산sheet!P18</f>
        <v>683.84675551929377</v>
      </c>
      <c r="C24" s="74">
        <f ca="1">칼레계산sheet!Q18</f>
        <v>7.11E-3</v>
      </c>
      <c r="D24" s="58"/>
      <c r="E24" s="239">
        <f ca="1">칼레계산sheet!P14</f>
        <v>403.17</v>
      </c>
      <c r="F24" s="241">
        <f ca="1">칼레계산sheet!Q14</f>
        <v>4.7400000000000003E-3</v>
      </c>
      <c r="G24" s="58"/>
      <c r="H24" s="239">
        <f ca="1">칼레계산sheet!P15</f>
        <v>466.64100248999995</v>
      </c>
      <c r="I24" s="74">
        <f ca="1">칼레계산sheet!Q15</f>
        <v>7.11E-3</v>
      </c>
      <c r="J24" s="58"/>
      <c r="K24" s="58"/>
      <c r="L24" s="58"/>
    </row>
    <row r="25" spans="2:15">
      <c r="B25" s="274" t="str">
        <f ca="1">CONCATENATE(ROUND(C21*$R$1,0),"등","~",ROUND(C23*$R$1,0),"등")</f>
        <v>2198등~2299등</v>
      </c>
      <c r="C25" s="274"/>
      <c r="D25" s="58"/>
      <c r="E25" s="274" t="str">
        <f ca="1">CONCATENATE(ROUND(F21*$R$1,0),"등","~",ROUND(F23*$R$1,0),"등")</f>
        <v>1298등~1497등</v>
      </c>
      <c r="F25" s="274"/>
      <c r="G25" s="58"/>
      <c r="H25" s="274" t="str">
        <f ca="1">CONCATENATE(ROUND(I21*$R$1,0),"등","~",ROUND(I23*$R$1,0),"등")</f>
        <v>2198등~2299등</v>
      </c>
      <c r="I25" s="274"/>
      <c r="J25" s="58"/>
      <c r="K25" s="58"/>
      <c r="L25" s="58"/>
    </row>
    <row r="27" spans="2:15">
      <c r="F27" s="57"/>
    </row>
    <row r="33" spans="3:13">
      <c r="H33" s="75"/>
      <c r="I33" s="75"/>
      <c r="J33" s="75"/>
      <c r="K33" s="75"/>
      <c r="L33" s="75"/>
      <c r="M33" s="75"/>
    </row>
    <row r="34" spans="3:13">
      <c r="C34" s="228"/>
      <c r="H34" s="75"/>
      <c r="I34" s="228"/>
      <c r="J34" s="75"/>
      <c r="K34" s="75"/>
      <c r="L34" s="228"/>
      <c r="M34" s="75"/>
    </row>
    <row r="35" spans="3:13">
      <c r="C35" s="228"/>
      <c r="H35" s="75"/>
      <c r="I35" s="228"/>
      <c r="J35" s="75"/>
      <c r="K35" s="75"/>
      <c r="L35" s="228"/>
      <c r="M35" s="75"/>
    </row>
    <row r="41" spans="3:13">
      <c r="C41" s="75"/>
      <c r="D41" s="76"/>
      <c r="F41" s="75"/>
      <c r="G41" s="77"/>
      <c r="H41" s="77"/>
      <c r="I41" s="77"/>
      <c r="J41" s="77"/>
      <c r="K41" s="77"/>
      <c r="L41" s="78"/>
    </row>
    <row r="42" spans="3:13">
      <c r="C42" s="228"/>
      <c r="D42" s="79"/>
      <c r="F42" s="75"/>
      <c r="G42" s="80"/>
      <c r="H42" s="79"/>
      <c r="I42" s="79"/>
      <c r="J42" s="79"/>
      <c r="K42" s="79"/>
    </row>
    <row r="43" spans="3:13">
      <c r="C43" s="228"/>
      <c r="F43" s="228"/>
    </row>
    <row r="44" spans="3:13">
      <c r="C44" s="75"/>
      <c r="F44" s="228"/>
    </row>
    <row r="45" spans="3:13">
      <c r="C45" s="75"/>
      <c r="F45" s="75"/>
    </row>
  </sheetData>
  <sheetProtection algorithmName="SHA-512" hashValue="SrEuwxOOcNrc2BeyCJxF9+eWA/hob680YWoi/e0S5yYDppis7V4zghi/nB22ounha/2TkmPXIj/gCxAO9y97Kw==" saltValue="X468drZ2LNZ5ul4ciK1SJQ==" spinCount="100000" sheet="1" objects="1" scenarios="1" selectLockedCells="1" selectUnlockedCells="1"/>
  <mergeCells count="11">
    <mergeCell ref="B25:C25"/>
    <mergeCell ref="E25:F25"/>
    <mergeCell ref="H25:I25"/>
    <mergeCell ref="K17:L17"/>
    <mergeCell ref="K9:L9"/>
    <mergeCell ref="E9:F9"/>
    <mergeCell ref="B9:C9"/>
    <mergeCell ref="H9:I9"/>
    <mergeCell ref="B17:C17"/>
    <mergeCell ref="E17:F17"/>
    <mergeCell ref="H17:I1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33"/>
  <sheetViews>
    <sheetView showGridLines="0" zoomScaleNormal="100" workbookViewId="0">
      <selection activeCell="K11" sqref="K11"/>
    </sheetView>
  </sheetViews>
  <sheetFormatPr defaultRowHeight="13.5"/>
  <cols>
    <col min="1" max="2" width="9" style="81"/>
    <col min="3" max="3" width="21.5" style="81" customWidth="1"/>
    <col min="4" max="5" width="9" style="81"/>
    <col min="6" max="6" width="11.375" style="81" customWidth="1"/>
    <col min="7" max="7" width="0" style="81" hidden="1" customWidth="1"/>
    <col min="8" max="8" width="10.375" style="81" customWidth="1"/>
    <col min="9" max="9" width="18.25" style="81" customWidth="1"/>
    <col min="10" max="11" width="9" style="81"/>
    <col min="12" max="12" width="12.375" style="81" customWidth="1"/>
    <col min="13" max="16384" width="9" style="81"/>
  </cols>
  <sheetData>
    <row r="2" spans="3:17">
      <c r="F2" s="82" t="s">
        <v>1551</v>
      </c>
      <c r="G2" s="83"/>
      <c r="H2" s="83"/>
      <c r="I2" s="83"/>
      <c r="J2" s="83"/>
      <c r="K2" s="83"/>
      <c r="L2" s="83"/>
      <c r="M2" s="83"/>
      <c r="N2" s="83"/>
      <c r="O2" s="84"/>
      <c r="P2" s="84"/>
    </row>
    <row r="3" spans="3:17">
      <c r="F3" s="85" t="s">
        <v>1552</v>
      </c>
      <c r="G3" s="85"/>
      <c r="H3" s="85"/>
      <c r="I3" s="85"/>
      <c r="J3" s="86"/>
      <c r="K3" s="85"/>
      <c r="L3" s="85"/>
      <c r="M3" s="85"/>
      <c r="N3" s="85"/>
    </row>
    <row r="4" spans="3:17">
      <c r="D4" s="85"/>
      <c r="E4" s="85"/>
      <c r="F4" s="85"/>
      <c r="G4" s="85"/>
      <c r="H4" s="85"/>
      <c r="I4" s="85"/>
      <c r="J4" s="85"/>
      <c r="K4" s="85"/>
      <c r="L4" s="85"/>
      <c r="M4" s="85"/>
    </row>
    <row r="6" spans="3:17">
      <c r="F6" s="81" t="s">
        <v>1546</v>
      </c>
    </row>
    <row r="7" spans="3:17">
      <c r="C7" s="87" t="s">
        <v>22</v>
      </c>
      <c r="D7" s="81" t="s">
        <v>24</v>
      </c>
      <c r="F7" s="88" t="s">
        <v>25</v>
      </c>
      <c r="G7" s="88" t="s">
        <v>67</v>
      </c>
      <c r="H7" s="88" t="s">
        <v>1547</v>
      </c>
      <c r="I7" s="88" t="s">
        <v>77</v>
      </c>
      <c r="J7" s="88"/>
      <c r="L7" s="88" t="s">
        <v>72</v>
      </c>
      <c r="M7" s="88" t="s">
        <v>74</v>
      </c>
      <c r="N7" s="88" t="s">
        <v>70</v>
      </c>
      <c r="O7" s="88" t="s">
        <v>74</v>
      </c>
      <c r="P7" s="88" t="s">
        <v>73</v>
      </c>
      <c r="Q7" s="88" t="s">
        <v>76</v>
      </c>
    </row>
    <row r="8" spans="3:17">
      <c r="C8" s="87" t="s">
        <v>1</v>
      </c>
      <c r="D8" s="89">
        <f ca="1">계산내역상세!I14</f>
        <v>531.28</v>
      </c>
      <c r="E8" s="89"/>
      <c r="F8" s="90">
        <f ca="1">VLOOKUP($D8,청솔vlookup!$B:$L,11,TRUE)</f>
        <v>5.0000000000000001E-3</v>
      </c>
      <c r="G8" s="81">
        <f ca="1">VLOOKUP($D8,청솔vlookup!$B:$L,10,TRUE)</f>
        <v>10597</v>
      </c>
      <c r="H8" s="158">
        <f ca="1">VLOOKUP($D8,청솔vlookup!$B:$L,1,TRUE)</f>
        <v>530.4</v>
      </c>
      <c r="I8" s="91" t="str">
        <f t="shared" ref="I8:I23" ca="1" si="0">CONCATENATE(M8*100,"%~",O8*100,"%")</f>
        <v>0.4%~0.5%</v>
      </c>
      <c r="L8" s="88">
        <f ca="1">OFFSET(청솔vlookup!$B$1,MATCH(H8,청솔vlookup!B:B,0),0,1,1)</f>
        <v>531.5</v>
      </c>
      <c r="M8" s="90">
        <f ca="1">OFFSET(청솔vlookup!$B$1,MATCH(H8,청솔vlookup!B:B,0),10,1,1)</f>
        <v>4.0000000000000001E-3</v>
      </c>
      <c r="N8" s="88">
        <f ca="1">OFFSET(청솔vlookup!$B$1,MATCH(H8,청솔vlookup!B:B,0)-1,0,1,1)</f>
        <v>530.4</v>
      </c>
      <c r="O8" s="90">
        <f ca="1">OFFSET(청솔vlookup!$B$1,MATCH(H8,청솔vlookup!B:B,0)-1,10,1,1)</f>
        <v>5.0000000000000001E-3</v>
      </c>
      <c r="P8" s="88">
        <f ca="1">OFFSET(청솔vlookup!$B$1,MATCH(H8,청솔vlookup!B:B,0)-2,0,1,1)</f>
        <v>529.4</v>
      </c>
      <c r="Q8" s="90">
        <f ca="1">OFFSET(청솔vlookup!$B$1,MATCH(H8,청솔vlookup!B:B,0)-2,10,1,1)</f>
        <v>6.0000000000000001E-3</v>
      </c>
    </row>
    <row r="9" spans="3:17">
      <c r="C9" s="87" t="s">
        <v>258</v>
      </c>
      <c r="D9" s="89">
        <f ca="1">계산내역상세!I15</f>
        <v>527.13599999999997</v>
      </c>
      <c r="E9" s="89"/>
      <c r="F9" s="90">
        <f ca="1">VLOOKUP(D9,청솔vlookup!U:W,3,TRUE)</f>
        <v>8.0000000000000002E-3</v>
      </c>
      <c r="G9" s="81">
        <f ca="1">VLOOKUP(D9,청솔vlookup!U:W,2,TRUE)</f>
        <v>4497</v>
      </c>
      <c r="H9" s="158">
        <f ca="1">VLOOKUP(D9,청솔vlookup!U:W,1,TRUE)</f>
        <v>526.70000000000005</v>
      </c>
      <c r="I9" s="91" t="str">
        <f t="shared" ca="1" si="0"/>
        <v>0.7%~0.8%</v>
      </c>
      <c r="J9" s="81" t="s">
        <v>1550</v>
      </c>
      <c r="L9" s="88">
        <f ca="1">OFFSET(청솔vlookup!$U$1,MATCH($H$9,청솔vlookup!$U:$U,0),0,1,1)</f>
        <v>527.5</v>
      </c>
      <c r="M9" s="90">
        <f ca="1">OFFSET(청솔vlookup!$U$1,MATCH($H$9,청솔vlookup!$U:$U,0),2,1,1)</f>
        <v>6.9999999999999993E-3</v>
      </c>
      <c r="N9" s="88">
        <f ca="1">OFFSET(청솔vlookup!$U$1,MATCH($H$9,청솔vlookup!$U:$U,0)-1,0,1,1)</f>
        <v>526.70000000000005</v>
      </c>
      <c r="O9" s="90">
        <f ca="1">OFFSET(청솔vlookup!$U$1,MATCH($H$9,청솔vlookup!$U:$U,0)-1,2,1,1)</f>
        <v>8.0000000000000002E-3</v>
      </c>
      <c r="P9" s="88">
        <f ca="1">OFFSET(청솔vlookup!$U$1,MATCH($H$9,청솔vlookup!$U:$U,0)-2,0,1,1)</f>
        <v>526</v>
      </c>
      <c r="Q9" s="90">
        <f ca="1">OFFSET(청솔vlookup!$U$1,MATCH($H$9,청솔vlookup!$U:$U,0)-2,2,1,1)</f>
        <v>0.01</v>
      </c>
    </row>
    <row r="10" spans="3:17">
      <c r="C10" s="87" t="s">
        <v>3</v>
      </c>
      <c r="D10" s="89">
        <f>계산내역상세!I16</f>
        <v>332.3857142857143</v>
      </c>
      <c r="E10" s="89"/>
      <c r="F10" s="90">
        <f>VLOOKUP(D10,청솔vlookup!$C:$L,10,TRUE)</f>
        <v>4.0000000000000001E-3</v>
      </c>
      <c r="G10" s="81">
        <f>VLOOKUP($D$10,청솔vlookup!$C:$L,9,TRUE)</f>
        <v>10793</v>
      </c>
      <c r="H10" s="158">
        <f>VLOOKUP($D$10,청솔vlookup!$C:$L,1,TRUE)</f>
        <v>332.3</v>
      </c>
      <c r="I10" s="91" t="str">
        <f t="shared" ca="1" si="0"/>
        <v>0.3%~0.4%</v>
      </c>
      <c r="L10" s="88">
        <f ca="1">OFFSET(청솔vlookup!$B$1,MATCH(H10,청솔vlookup!C:C,0),1,1,1)</f>
        <v>333</v>
      </c>
      <c r="M10" s="90">
        <f ca="1">OFFSET(청솔vlookup!$B$1,MATCH(H10,청솔vlookup!C:C,0),10,1,1)</f>
        <v>3.0000000000000001E-3</v>
      </c>
      <c r="N10" s="88">
        <f ca="1">OFFSET(청솔vlookup!$B$1,MATCH(H10,청솔vlookup!C:C,0)-1,1,1,1)</f>
        <v>332.3</v>
      </c>
      <c r="O10" s="90">
        <f ca="1">OFFSET(청솔vlookup!$B$1,MATCH(H10,청솔vlookup!C:C,0)-1,10,1,1)</f>
        <v>4.0000000000000001E-3</v>
      </c>
      <c r="P10" s="88">
        <f ca="1">OFFSET(청솔vlookup!$B$1,MATCH(H10,청솔vlookup!C:C,0)-2,1,1,1)</f>
        <v>331.6</v>
      </c>
      <c r="Q10" s="90">
        <f ca="1">OFFSET(청솔vlookup!$B$1,MATCH(H10,청솔vlookup!C:C,0)-2,10,1,1)</f>
        <v>5.0000000000000001E-3</v>
      </c>
    </row>
    <row r="11" spans="3:17">
      <c r="C11" s="87" t="s">
        <v>45</v>
      </c>
      <c r="D11" s="89">
        <f>계산내역상세!I17</f>
        <v>488.35012594458442</v>
      </c>
      <c r="E11" s="89"/>
      <c r="F11" s="90">
        <f>VLOOKUP(D11,청솔vlookup!$D:$L,9,TRUE)</f>
        <v>4.0000000000000001E-3</v>
      </c>
      <c r="G11" s="81">
        <f>VLOOKUP($D$11,청솔vlookup!$D:$L,8,TRUE)</f>
        <v>10793</v>
      </c>
      <c r="H11" s="158">
        <f>VLOOKUP($D$11,청솔vlookup!$D:$L,1,TRUE)</f>
        <v>488.3</v>
      </c>
      <c r="I11" s="91" t="str">
        <f t="shared" ca="1" si="0"/>
        <v>0.3%~0.4%</v>
      </c>
      <c r="L11" s="88">
        <f ca="1">OFFSET(청솔vlookup!$B$1,MATCH(H11,청솔vlookup!D:D,0),2,1,1)</f>
        <v>489.5</v>
      </c>
      <c r="M11" s="90">
        <f ca="1">OFFSET(청솔vlookup!$B$1,MATCH(H11,청솔vlookup!D:D,0),10,1,1)</f>
        <v>3.0000000000000001E-3</v>
      </c>
      <c r="N11" s="88">
        <f ca="1">OFFSET(청솔vlookup!$B$1,MATCH(H11,청솔vlookup!D:D,0)-1,2,1,1)</f>
        <v>488.3</v>
      </c>
      <c r="O11" s="90">
        <f ca="1">OFFSET(청솔vlookup!$B$1,MATCH(H11,청솔vlookup!D:D,0)-1,10,1,1)</f>
        <v>4.0000000000000001E-3</v>
      </c>
      <c r="P11" s="88">
        <f ca="1">OFFSET(청솔vlookup!$B$1,MATCH(H11,청솔vlookup!D:D,0)-2,2,1,1)</f>
        <v>487</v>
      </c>
      <c r="Q11" s="90">
        <f ca="1">OFFSET(청솔vlookup!$B$1,MATCH(H11,청솔vlookup!D:D,0)-2,10,1,1)</f>
        <v>5.0000000000000001E-3</v>
      </c>
    </row>
    <row r="12" spans="3:17">
      <c r="C12" s="87" t="s">
        <v>46</v>
      </c>
      <c r="D12" s="89">
        <f>계산내역상세!I18</f>
        <v>533.24400000000003</v>
      </c>
      <c r="E12" s="89"/>
      <c r="F12" s="90">
        <f>VLOOKUP(D12,청솔vlookup!$E:$L,8,TRUE)</f>
        <v>4.0000000000000001E-3</v>
      </c>
      <c r="G12" s="81">
        <f>VLOOKUP($D$12,청솔vlookup!$E:$L,7,TRUE)</f>
        <v>10793</v>
      </c>
      <c r="H12" s="158">
        <f>VLOOKUP($D$12,청솔vlookup!$E:$L,1,TRUE)</f>
        <v>533</v>
      </c>
      <c r="I12" s="91" t="str">
        <f t="shared" ca="1" si="0"/>
        <v>0.3%~0.4%</v>
      </c>
      <c r="L12" s="88">
        <f ca="1">OFFSET(청솔vlookup!$B$1,MATCH(H12,청솔vlookup!E:E,0),3,1,1)</f>
        <v>534.4</v>
      </c>
      <c r="M12" s="90">
        <f ca="1">OFFSET(청솔vlookup!$B$1,MATCH(H12,청솔vlookup!E:E,0),10,1,1)</f>
        <v>3.0000000000000001E-3</v>
      </c>
      <c r="N12" s="88">
        <f ca="1">OFFSET(청솔vlookup!$B$1,MATCH(H12,청솔vlookup!E:E,0)-1,3,1,1)</f>
        <v>533</v>
      </c>
      <c r="O12" s="90">
        <f ca="1">OFFSET(청솔vlookup!$B$1,MATCH(H12,청솔vlookup!E:E,0)-1,10,1,1)</f>
        <v>4.0000000000000001E-3</v>
      </c>
      <c r="P12" s="88">
        <f ca="1">OFFSET(청솔vlookup!$B$1,MATCH(H12,청솔vlookup!E:E,0)-2,3,1,1)</f>
        <v>531.6</v>
      </c>
      <c r="Q12" s="90">
        <f ca="1">OFFSET(청솔vlookup!$B$1,MATCH(H12,청솔vlookup!E:E,0)-2,10,1,1)</f>
        <v>5.0000000000000001E-3</v>
      </c>
    </row>
    <row r="13" spans="3:17">
      <c r="C13" s="87" t="s">
        <v>47</v>
      </c>
      <c r="D13" s="89">
        <f>계산내역상세!I19</f>
        <v>534.44399999999996</v>
      </c>
      <c r="E13" s="89"/>
      <c r="F13" s="90">
        <f>VLOOKUP(D13,청솔vlookup!$F:$L,7,TRUE)</f>
        <v>4.0000000000000001E-3</v>
      </c>
      <c r="G13" s="81">
        <f>VLOOKUP($D$13,청솔vlookup!$F:$L,6,TRUE)</f>
        <v>10793</v>
      </c>
      <c r="H13" s="158">
        <f>VLOOKUP($D$13,청솔vlookup!$F:$L,1,TRUE)</f>
        <v>534.20000000000005</v>
      </c>
      <c r="I13" s="91" t="str">
        <f t="shared" ca="1" si="0"/>
        <v>0.3%~0.4%</v>
      </c>
      <c r="L13" s="88">
        <f ca="1">OFFSET(청솔vlookup!$B$1,MATCH(H13,청솔vlookup!F:F,0),4,1,1)</f>
        <v>535.20000000000005</v>
      </c>
      <c r="M13" s="90">
        <f ca="1">OFFSET(청솔vlookup!$B$1,MATCH(H13,청솔vlookup!F:F,0),10,1,1)</f>
        <v>3.0000000000000001E-3</v>
      </c>
      <c r="N13" s="88">
        <f ca="1">OFFSET(청솔vlookup!$B$1,MATCH(H13,청솔vlookup!F:F,0)-1,4,1,1)</f>
        <v>534.20000000000005</v>
      </c>
      <c r="O13" s="90">
        <f ca="1">OFFSET(청솔vlookup!$B$1,MATCH(H13,청솔vlookup!F:F,0)-1,10,1,1)</f>
        <v>4.0000000000000001E-3</v>
      </c>
      <c r="P13" s="88">
        <f ca="1">OFFSET(청솔vlookup!$B$1,MATCH(H13,청솔vlookup!F:F,0)-2,4,1,1)</f>
        <v>533</v>
      </c>
      <c r="Q13" s="90">
        <f ca="1">OFFSET(청솔vlookup!$B$1,MATCH(H13,청솔vlookup!F:F,0)-2,10,1,1)</f>
        <v>5.0000000000000001E-3</v>
      </c>
    </row>
    <row r="14" spans="3:17" hidden="1">
      <c r="C14" s="87" t="s">
        <v>8</v>
      </c>
      <c r="D14" s="89">
        <f>계산내역상세!I20</f>
        <v>403.26</v>
      </c>
      <c r="E14" s="89"/>
      <c r="F14" s="90" t="e">
        <f>VLOOKUP(D14,청솔vlookup!$G:$L,6,TRUE)</f>
        <v>#N/A</v>
      </c>
      <c r="G14" s="81" t="e">
        <f>VLOOKUP($D$14,청솔vlookup!$G:$L,5,TRUE)</f>
        <v>#N/A</v>
      </c>
      <c r="H14" s="158" t="e">
        <f>VLOOKUP($D$14,청솔vlookup!$G:$L,1,TRUE)</f>
        <v>#N/A</v>
      </c>
      <c r="I14" s="91" t="e">
        <f t="shared" ca="1" si="0"/>
        <v>#N/A</v>
      </c>
      <c r="L14" s="88" t="e">
        <f ca="1">OFFSET(Sheet3!$A$1,MATCH($H$14,Sheet3!$A:$A,0),0,1,1)</f>
        <v>#N/A</v>
      </c>
      <c r="M14" s="90" t="e">
        <f ca="1">OFFSET(Sheet3!$A$1,MATCH($H$14,Sheet3!$A:$A,0),1,1,1)</f>
        <v>#N/A</v>
      </c>
      <c r="N14" s="88" t="e">
        <f ca="1">OFFSET(Sheet3!$A$1,MATCH($H$14,Sheet3!$A:$A,0)-1,0,1,1)</f>
        <v>#N/A</v>
      </c>
      <c r="O14" s="90" t="e">
        <f ca="1">OFFSET(Sheet3!$A$1,MATCH($H$14,Sheet3!$A:$A,0)-1,1,1,1)</f>
        <v>#N/A</v>
      </c>
      <c r="P14" s="88" t="e">
        <f ca="1">OFFSET(Sheet3!$A$1,MATCH($H$14,Sheet3!$A:$A,0)-2,0,1,1)</f>
        <v>#N/A</v>
      </c>
      <c r="Q14" s="90" t="e">
        <f ca="1">OFFSET(Sheet3!$A$1,MATCH($H$14,Sheet3!$A:$A,0)-2,1,1,1)</f>
        <v>#N/A</v>
      </c>
    </row>
    <row r="15" spans="3:17">
      <c r="C15" s="87" t="s">
        <v>9</v>
      </c>
      <c r="D15" s="89">
        <f>계산내역상세!I21</f>
        <v>467.16599999999994</v>
      </c>
      <c r="E15" s="89"/>
      <c r="F15" s="90">
        <f>VLOOKUP(D15,청솔vlookup!$H:$L,5,TRUE)</f>
        <v>4.0000000000000001E-3</v>
      </c>
      <c r="G15" s="81">
        <f>VLOOKUP($D$15,청솔vlookup!$H:$L,4,TRUE)</f>
        <v>10793</v>
      </c>
      <c r="H15" s="158">
        <f>VLOOKUP($D$15,청솔vlookup!$H:$L,1,TRUE)</f>
        <v>466.7</v>
      </c>
      <c r="I15" s="91" t="str">
        <f t="shared" ca="1" si="0"/>
        <v>0.3%~0.4%</v>
      </c>
      <c r="L15" s="88">
        <f ca="1">OFFSET(청솔vlookup!$B$1,MATCH(H15,청솔vlookup!H:H,0),6,1,1)</f>
        <v>467.5</v>
      </c>
      <c r="M15" s="90">
        <f ca="1">OFFSET(청솔vlookup!$B$1,MATCH(H15,청솔vlookup!H:H,0),10,1,1)</f>
        <v>3.0000000000000001E-3</v>
      </c>
      <c r="N15" s="88">
        <f ca="1">OFFSET(청솔vlookup!$B$1,MATCH(H15,청솔vlookup!H:H,0)-1,6,1,1)</f>
        <v>466.7</v>
      </c>
      <c r="O15" s="90">
        <f ca="1">OFFSET(청솔vlookup!$B$1,MATCH(H15,청솔vlookup!H:H,0)-1,10,1,1)</f>
        <v>4.0000000000000001E-3</v>
      </c>
      <c r="P15" s="88">
        <f ca="1">OFFSET(청솔vlookup!$B$1,MATCH(H15,청솔vlookup!H:H,0)-2,6,1,1)</f>
        <v>465.8</v>
      </c>
      <c r="Q15" s="90">
        <f ca="1">OFFSET(청솔vlookup!$B$1,MATCH(H15,청솔vlookup!H:H,0)-2,10,1,1)</f>
        <v>5.0000000000000001E-3</v>
      </c>
    </row>
    <row r="16" spans="3:17">
      <c r="C16" s="87" t="s">
        <v>50</v>
      </c>
      <c r="D16" s="89">
        <f>계산내역상세!I22</f>
        <v>680.91632518175811</v>
      </c>
      <c r="E16" s="89"/>
      <c r="F16" s="90"/>
      <c r="H16" s="158"/>
      <c r="I16" s="91"/>
      <c r="L16" s="88"/>
      <c r="M16" s="90"/>
      <c r="N16" s="88"/>
      <c r="O16" s="90"/>
      <c r="P16" s="88"/>
      <c r="Q16" s="90"/>
    </row>
    <row r="17" spans="3:17">
      <c r="C17" s="87" t="s">
        <v>53</v>
      </c>
      <c r="D17" s="89">
        <f>계산내역상세!I23</f>
        <v>680.91632518175811</v>
      </c>
      <c r="E17" s="89"/>
      <c r="F17" s="90"/>
      <c r="H17" s="158"/>
      <c r="I17" s="91"/>
      <c r="L17" s="88"/>
      <c r="M17" s="90"/>
      <c r="N17" s="88"/>
      <c r="O17" s="90"/>
      <c r="P17" s="88"/>
      <c r="Q17" s="90"/>
    </row>
    <row r="18" spans="3:17">
      <c r="C18" s="87" t="s">
        <v>56</v>
      </c>
      <c r="D18" s="89">
        <f>계산내역상세!I24</f>
        <v>977.84374642206035</v>
      </c>
      <c r="E18" s="89"/>
      <c r="F18" s="90">
        <f>VLOOKUP(D18,'청솔vlookup(2)'!S:T,2,TRUE)</f>
        <v>4.0000000000000001E-3</v>
      </c>
      <c r="H18" s="192">
        <f>VLOOKUP(D18,'청솔vlookup(2)'!S:T,1,TRUE)</f>
        <v>977</v>
      </c>
      <c r="I18" s="91" t="str">
        <f t="shared" ca="1" si="0"/>
        <v>0.3%~0.4%</v>
      </c>
      <c r="L18" s="88">
        <f ca="1">OFFSET('청솔vlookup(2)'!S1,MATCH(H18,'청솔vlookup(2)'!S:S,0),0,1,1)</f>
        <v>979</v>
      </c>
      <c r="M18" s="90">
        <f ca="1">OFFSET('청솔vlookup(2)'!S1,MATCH(H18,'청솔vlookup(2)'!S:S,0),1,1,1)</f>
        <v>3.0000000000000001E-3</v>
      </c>
      <c r="N18" s="193">
        <f>H18</f>
        <v>977</v>
      </c>
      <c r="O18" s="194">
        <f>F18</f>
        <v>4.0000000000000001E-3</v>
      </c>
      <c r="P18" s="88"/>
      <c r="Q18" s="88"/>
    </row>
    <row r="19" spans="3:17">
      <c r="C19" s="87" t="s">
        <v>55</v>
      </c>
      <c r="D19" s="89">
        <f>계산내역상세!I25</f>
        <v>971.12866931470887</v>
      </c>
      <c r="E19" s="89"/>
      <c r="H19" s="158"/>
      <c r="I19" s="91"/>
      <c r="L19" s="88"/>
      <c r="M19" s="88"/>
      <c r="N19" s="88"/>
      <c r="O19" s="88"/>
      <c r="P19" s="88"/>
      <c r="Q19" s="88"/>
    </row>
    <row r="20" spans="3:17">
      <c r="C20" s="87" t="s">
        <v>11</v>
      </c>
      <c r="D20" s="89">
        <f>계산내역상세!I26</f>
        <v>465.64000000000004</v>
      </c>
      <c r="E20" s="89"/>
      <c r="F20" s="90">
        <f>VLOOKUP(D20,'청솔vlookup(2)'!$G:$R,12)</f>
        <v>5.0000000000000001E-3</v>
      </c>
      <c r="H20" s="156">
        <f>VLOOKUP(D20,'청솔vlookup(2)'!$G:$R,1)</f>
        <v>465</v>
      </c>
      <c r="I20" s="91" t="str">
        <f t="shared" ca="1" si="0"/>
        <v>0.4%~0.5%</v>
      </c>
      <c r="L20" s="195">
        <f ca="1">OFFSET('청솔vlookup(2)'!G1,MATCH(H20,'청솔vlookup(2)'!G:G,0),0,1,1)</f>
        <v>466</v>
      </c>
      <c r="M20" s="90">
        <f ca="1">VLOOKUP(L20,'청솔vlookup(2)'!$G:$R,12)</f>
        <v>4.0000000000000001E-3</v>
      </c>
      <c r="N20" s="193">
        <f>H20</f>
        <v>465</v>
      </c>
      <c r="O20" s="194">
        <f>F20</f>
        <v>5.0000000000000001E-3</v>
      </c>
      <c r="P20" s="88"/>
      <c r="Q20" s="88"/>
    </row>
    <row r="21" spans="3:17" ht="18.75" customHeight="1">
      <c r="C21" s="87" t="s">
        <v>59</v>
      </c>
      <c r="D21" s="89">
        <f>계산내역상세!I27</f>
        <v>559.19999999999993</v>
      </c>
      <c r="E21" s="89"/>
      <c r="F21" s="90">
        <f>VLOOKUP(D21,'청솔vlookup(2)'!O:R,4,TRUE)</f>
        <v>4.0000000000000001E-3</v>
      </c>
      <c r="G21" s="88"/>
      <c r="H21" s="157">
        <f>VLOOKUP(D21,'청솔vlookup(2)'!O:R,1,TRUE)</f>
        <v>558.20000000000005</v>
      </c>
      <c r="I21" s="91" t="str">
        <f t="shared" ca="1" si="0"/>
        <v>0.3%~0.4%</v>
      </c>
      <c r="L21" s="195">
        <f ca="1">OFFSET('청솔vlookup(2)'!O1,MATCH(H21,'청솔vlookup(2)'!O:O,0),0,1,1)</f>
        <v>559.79999999999995</v>
      </c>
      <c r="M21" s="90">
        <f ca="1">VLOOKUP(L21,'청솔vlookup(2)'!O:R,4,TRUE)</f>
        <v>3.0000000000000001E-3</v>
      </c>
      <c r="N21" s="88">
        <f>H21</f>
        <v>558.20000000000005</v>
      </c>
      <c r="O21" s="194">
        <f>F21</f>
        <v>4.0000000000000001E-3</v>
      </c>
      <c r="P21" s="88"/>
      <c r="Q21" s="88"/>
    </row>
    <row r="22" spans="3:17">
      <c r="C22" s="87" t="s">
        <v>12</v>
      </c>
      <c r="D22" s="89">
        <f>계산내역상세!I28</f>
        <v>683.53588235294126</v>
      </c>
      <c r="E22" s="89"/>
      <c r="F22" s="90">
        <f>VLOOKUP(D22,'청솔vlookup(2)'!L:R,7,TRUE)</f>
        <v>4.0000000000000001E-3</v>
      </c>
      <c r="H22" s="157">
        <f>VLOOKUP(D22,'청솔vlookup(2)'!L:R,1,TRUE)</f>
        <v>682.7</v>
      </c>
      <c r="I22" s="91" t="str">
        <f t="shared" ca="1" si="0"/>
        <v>0.3%~0.4%</v>
      </c>
      <c r="L22" s="195">
        <f ca="1">OFFSET('청솔vlookup(2)'!L1,MATCH(H22,'청솔vlookup(2)'!L:L,0),0,1,1)</f>
        <v>684.4</v>
      </c>
      <c r="M22" s="90">
        <f ca="1">VLOOKUP(L22,'청솔vlookup(2)'!L:R,7,TRUE)</f>
        <v>3.0000000000000001E-3</v>
      </c>
      <c r="N22" s="193">
        <f>H22</f>
        <v>682.7</v>
      </c>
      <c r="O22" s="194">
        <f>F22</f>
        <v>4.0000000000000001E-3</v>
      </c>
      <c r="P22" s="88"/>
      <c r="Q22" s="88"/>
    </row>
    <row r="23" spans="3:17">
      <c r="C23" s="87" t="s">
        <v>19</v>
      </c>
      <c r="D23" s="89">
        <f>계산내역상세!I29</f>
        <v>581.26187705316499</v>
      </c>
      <c r="E23" s="89"/>
      <c r="F23" s="90">
        <f>VLOOKUP(청솔누적확인!D23,'청솔vlookup(2)'!M:R,6,TRUE)</f>
        <v>8.0000000000000002E-3</v>
      </c>
      <c r="H23" s="89">
        <f>VLOOKUP(청솔누적확인!D23,'청솔vlookup(2)'!M:R,1,TRUE)</f>
        <v>581</v>
      </c>
      <c r="I23" s="91" t="str">
        <f t="shared" ca="1" si="0"/>
        <v>0.6%~0.8%</v>
      </c>
      <c r="L23" s="195">
        <f ca="1">OFFSET('청솔vlookup(2)'!M1,MATCH(H23,'청솔vlookup(2)'!M:M,0),0,1,1)</f>
        <v>582</v>
      </c>
      <c r="M23" s="90">
        <f ca="1">VLOOKUP(청솔누적확인!L23,'청솔vlookup(2)'!M:R,6,TRUE)</f>
        <v>6.0000000000000001E-3</v>
      </c>
      <c r="N23" s="193">
        <f>D23</f>
        <v>581.26187705316499</v>
      </c>
      <c r="O23" s="194">
        <f>F23</f>
        <v>8.0000000000000002E-3</v>
      </c>
      <c r="P23" s="88"/>
      <c r="Q23" s="88"/>
    </row>
    <row r="24" spans="3:17">
      <c r="C24" s="87" t="s">
        <v>220</v>
      </c>
      <c r="D24" s="89">
        <f>계산내역상세!I30</f>
        <v>590.12649849231457</v>
      </c>
      <c r="E24" s="89"/>
      <c r="L24" s="84"/>
    </row>
    <row r="25" spans="3:17">
      <c r="C25" s="87" t="s">
        <v>169</v>
      </c>
      <c r="D25" s="89">
        <f>계산내역상세!I31/0.7</f>
        <v>663.30000000000007</v>
      </c>
      <c r="E25" s="89"/>
      <c r="F25" s="90">
        <f>VLOOKUP(D25,'청솔vlookup(2)'!$E:$R,14,TRUE)</f>
        <v>5.0000000000000001E-3</v>
      </c>
      <c r="H25" s="81">
        <f>VLOOKUP(D25,'청솔vlookup(2)'!$E:$R,1,TRUE)</f>
        <v>662</v>
      </c>
      <c r="N25" s="89"/>
    </row>
    <row r="26" spans="3:17">
      <c r="C26" s="87" t="s">
        <v>1559</v>
      </c>
      <c r="D26" s="89">
        <f>점수입력!K19</f>
        <v>663.30000000000007</v>
      </c>
      <c r="E26" s="89"/>
      <c r="F26" s="90">
        <f>VLOOKUP(D26,'청솔vlookup(2)'!$E:$R,14,TRUE)</f>
        <v>5.0000000000000001E-3</v>
      </c>
      <c r="H26" s="163">
        <f>VLOOKUP(D26,'청솔vlookup(2)'!$E:$R,1,TRUE)</f>
        <v>662</v>
      </c>
    </row>
    <row r="27" spans="3:17">
      <c r="C27" s="87" t="s">
        <v>173</v>
      </c>
      <c r="D27" s="89">
        <f>계산내역상세!I32</f>
        <v>659.0825000000001</v>
      </c>
      <c r="E27" s="89"/>
      <c r="F27" s="90">
        <f>VLOOKUP(D27,'청솔vlookup(2)'!I:R,10,TRUE)</f>
        <v>5.0000000000000001E-3</v>
      </c>
      <c r="H27" s="81">
        <f>VLOOKUP(D27,'청솔vlookup(2)'!I:R,1,TRUE)</f>
        <v>659</v>
      </c>
    </row>
    <row r="28" spans="3:17">
      <c r="C28" s="87" t="s">
        <v>1553</v>
      </c>
      <c r="D28" s="89">
        <f>계산내역상세!I33</f>
        <v>52.900000000000006</v>
      </c>
      <c r="E28" s="89"/>
    </row>
    <row r="29" spans="3:17">
      <c r="C29" s="87"/>
      <c r="D29" s="89"/>
      <c r="E29" s="89"/>
    </row>
    <row r="30" spans="3:17">
      <c r="C30" s="87"/>
      <c r="D30" s="89"/>
      <c r="E30" s="89"/>
    </row>
    <row r="31" spans="3:17">
      <c r="C31" s="87"/>
      <c r="D31" s="89"/>
      <c r="E31" s="89"/>
    </row>
    <row r="32" spans="3:17">
      <c r="C32" s="87"/>
      <c r="D32" s="89"/>
      <c r="E32" s="89"/>
    </row>
    <row r="33" spans="3:5">
      <c r="C33" s="87"/>
      <c r="D33" s="89"/>
      <c r="E33" s="89"/>
    </row>
  </sheetData>
  <sheetProtection algorithmName="SHA-512" hashValue="j2rMH17m1BqM2eKeIbIP2x+njzs9Oa9P+tQU7sysAZVbGmvMFpi6fM3ypQF13Yssa1CBXCLJEO390jYDrB9eUA==" saltValue="LYtLH3tUoKpN2euVbixZlA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showGridLines="0" workbookViewId="0">
      <pane xSplit="4" ySplit="8" topLeftCell="E42" activePane="bottomRight" state="frozen"/>
      <selection pane="topRight" activeCell="E1" sqref="E1"/>
      <selection pane="bottomLeft" activeCell="A9" sqref="A9"/>
      <selection pane="bottomRight" activeCell="E9" sqref="E9"/>
    </sheetView>
  </sheetViews>
  <sheetFormatPr defaultRowHeight="16.5"/>
  <cols>
    <col min="2" max="2" width="10.625" customWidth="1"/>
    <col min="3" max="4" width="0" hidden="1" customWidth="1"/>
  </cols>
  <sheetData>
    <row r="1" spans="1:15" ht="20.25" customHeight="1">
      <c r="A1" s="276" t="s">
        <v>1624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15" ht="25.5" customHeight="1">
      <c r="A2" s="277" t="s">
        <v>1625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>
      <c r="A3" s="275" t="s">
        <v>1626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15">
      <c r="A4" s="275" t="s">
        <v>1627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15">
      <c r="A5" s="275" t="s">
        <v>1628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</row>
    <row r="6" spans="1:15">
      <c r="A6" s="275" t="s">
        <v>1629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15" ht="17.25" thickBot="1">
      <c r="A7" s="275" t="s">
        <v>1630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15" ht="23.25" thickBot="1">
      <c r="A8" s="222" t="s">
        <v>60</v>
      </c>
      <c r="B8" s="219" t="s">
        <v>1613</v>
      </c>
      <c r="C8" s="15" t="s">
        <v>1576</v>
      </c>
      <c r="D8" s="15" t="s">
        <v>1577</v>
      </c>
      <c r="E8" s="219" t="s">
        <v>20</v>
      </c>
      <c r="F8" s="219" t="s">
        <v>21</v>
      </c>
      <c r="G8" s="219" t="s">
        <v>44</v>
      </c>
      <c r="H8" s="219" t="s">
        <v>1606</v>
      </c>
      <c r="I8" s="219" t="s">
        <v>1607</v>
      </c>
      <c r="J8" s="219" t="s">
        <v>1608</v>
      </c>
      <c r="K8" s="219" t="s">
        <v>1609</v>
      </c>
      <c r="L8" s="219" t="s">
        <v>1610</v>
      </c>
      <c r="M8" s="219" t="s">
        <v>1611</v>
      </c>
      <c r="N8" s="219" t="s">
        <v>1612</v>
      </c>
    </row>
    <row r="9" spans="1:15" ht="17.25" thickBot="1">
      <c r="A9" s="223">
        <v>27</v>
      </c>
      <c r="B9" s="224">
        <v>8.0540986727808305E-5</v>
      </c>
      <c r="C9" s="18">
        <v>542</v>
      </c>
      <c r="D9" s="18">
        <v>507.5</v>
      </c>
      <c r="E9" s="220">
        <v>542.76229899999998</v>
      </c>
      <c r="F9" s="220">
        <v>339.73186000000004</v>
      </c>
      <c r="G9" s="220">
        <v>499.03802000000002</v>
      </c>
      <c r="H9" s="220">
        <v>545.02</v>
      </c>
      <c r="I9" s="220">
        <v>546.21999999999991</v>
      </c>
      <c r="J9" s="220">
        <v>410.19086420000002</v>
      </c>
      <c r="K9" s="220">
        <v>476.72806859999997</v>
      </c>
      <c r="L9" s="220">
        <v>698.89887640449433</v>
      </c>
      <c r="M9" s="220">
        <v>698.89887640449433</v>
      </c>
      <c r="N9" s="220">
        <v>699.01569357823018</v>
      </c>
    </row>
    <row r="10" spans="1:15" ht="17.25" thickBot="1">
      <c r="A10" s="223">
        <v>58</v>
      </c>
      <c r="B10" s="224">
        <v>1.714791585722861E-4</v>
      </c>
      <c r="C10" s="18">
        <v>541</v>
      </c>
      <c r="D10" s="18">
        <v>507</v>
      </c>
      <c r="E10" s="220">
        <v>541.647828</v>
      </c>
      <c r="F10" s="220">
        <v>339.63190300000002</v>
      </c>
      <c r="G10" s="220">
        <v>499.00729899999999</v>
      </c>
      <c r="H10" s="220">
        <v>544.88</v>
      </c>
      <c r="I10" s="220">
        <v>546.07999999999993</v>
      </c>
      <c r="J10" s="220">
        <v>410.19065769999997</v>
      </c>
      <c r="K10" s="220">
        <v>476.67902902999998</v>
      </c>
      <c r="L10" s="220">
        <v>698.66292134831451</v>
      </c>
      <c r="M10" s="220">
        <v>698.66292134831451</v>
      </c>
      <c r="N10" s="220">
        <v>698.62759747604423</v>
      </c>
      <c r="O10" t="s">
        <v>1578</v>
      </c>
    </row>
    <row r="11" spans="1:15" ht="17.25" thickBot="1">
      <c r="A11" s="223">
        <v>89</v>
      </c>
      <c r="B11" s="224">
        <v>2.627666012844678E-4</v>
      </c>
      <c r="C11" s="18">
        <v>540</v>
      </c>
      <c r="D11" s="18">
        <v>506.5</v>
      </c>
      <c r="E11" s="220">
        <v>540.76693799999998</v>
      </c>
      <c r="F11" s="220">
        <v>339.32255900000001</v>
      </c>
      <c r="G11" s="220">
        <v>498.13944499999997</v>
      </c>
      <c r="H11" s="220">
        <v>544.54000000000008</v>
      </c>
      <c r="I11" s="220">
        <v>545.74</v>
      </c>
      <c r="J11" s="220">
        <v>410.19044450000001</v>
      </c>
      <c r="K11" s="220">
        <v>476.47254801999998</v>
      </c>
      <c r="L11" s="220">
        <v>698.25917602996253</v>
      </c>
      <c r="M11" s="220">
        <v>698.25917602996253</v>
      </c>
      <c r="N11" s="220">
        <v>698.24011327385836</v>
      </c>
      <c r="O11" s="165">
        <v>131226</v>
      </c>
    </row>
    <row r="12" spans="1:15" ht="17.25" thickBot="1">
      <c r="A12" s="223">
        <v>119</v>
      </c>
      <c r="B12" s="224">
        <v>3.5440365011822058E-4</v>
      </c>
      <c r="C12" s="18">
        <v>539</v>
      </c>
      <c r="D12" s="18">
        <v>506</v>
      </c>
      <c r="E12" s="220">
        <v>540.36508700000002</v>
      </c>
      <c r="F12" s="220">
        <v>338.78988199999998</v>
      </c>
      <c r="G12" s="220">
        <v>497.618089</v>
      </c>
      <c r="H12" s="220">
        <v>543.75200000000007</v>
      </c>
      <c r="I12" s="220">
        <v>544.952</v>
      </c>
      <c r="J12" s="220">
        <v>410.19016549999998</v>
      </c>
      <c r="K12" s="220">
        <v>475.94401654999996</v>
      </c>
      <c r="L12" s="220">
        <v>697.18426966292134</v>
      </c>
      <c r="M12" s="220">
        <v>697.39068530748773</v>
      </c>
      <c r="N12" s="220">
        <v>697.72580594123372</v>
      </c>
    </row>
    <row r="13" spans="1:15" ht="17.25" thickBot="1">
      <c r="A13" s="223">
        <v>150</v>
      </c>
      <c r="B13" s="224">
        <v>4.4639064004166535E-4</v>
      </c>
      <c r="C13" s="18">
        <v>539</v>
      </c>
      <c r="D13" s="18">
        <v>505.5</v>
      </c>
      <c r="E13" s="220">
        <v>539.980862</v>
      </c>
      <c r="F13" s="220">
        <v>338.36230500000005</v>
      </c>
      <c r="G13" s="220">
        <v>496.92793799999998</v>
      </c>
      <c r="H13" s="220">
        <v>542.81999999999994</v>
      </c>
      <c r="I13" s="220">
        <v>544.1400000000001</v>
      </c>
      <c r="J13" s="220">
        <v>408.21073149999995</v>
      </c>
      <c r="K13" s="220">
        <v>474.68053795999992</v>
      </c>
      <c r="L13" s="220">
        <v>696.32198301741141</v>
      </c>
      <c r="M13" s="220">
        <v>696.72476770449157</v>
      </c>
      <c r="N13" s="220">
        <v>696.18294534986615</v>
      </c>
    </row>
    <row r="14" spans="1:15" ht="17.25" thickBot="1">
      <c r="A14" s="223">
        <v>178</v>
      </c>
      <c r="B14" s="224">
        <v>5.284509015805192E-4</v>
      </c>
      <c r="C14" s="18">
        <v>538</v>
      </c>
      <c r="D14" s="18">
        <v>505</v>
      </c>
      <c r="E14" s="220">
        <v>539.76499899999999</v>
      </c>
      <c r="F14" s="220">
        <v>338.04758600000002</v>
      </c>
      <c r="G14" s="220">
        <v>496.54103699999996</v>
      </c>
      <c r="H14" s="220">
        <v>542.43200000000013</v>
      </c>
      <c r="I14" s="220">
        <v>543.74</v>
      </c>
      <c r="J14" s="220">
        <v>408.2105305</v>
      </c>
      <c r="K14" s="220">
        <v>474.52652414999994</v>
      </c>
      <c r="L14" s="220">
        <v>695.72585841125169</v>
      </c>
      <c r="M14" s="220">
        <v>696.08602796123171</v>
      </c>
      <c r="N14" s="220">
        <v>695.22750040472226</v>
      </c>
    </row>
    <row r="15" spans="1:15" ht="17.25" thickBot="1">
      <c r="A15" s="223">
        <v>209</v>
      </c>
      <c r="B15" s="224">
        <v>6.2109980425774272E-4</v>
      </c>
      <c r="C15" s="18">
        <v>538</v>
      </c>
      <c r="D15" s="18">
        <v>505</v>
      </c>
      <c r="E15" s="220">
        <v>539.38489800000002</v>
      </c>
      <c r="F15" s="220">
        <v>337.89921000000004</v>
      </c>
      <c r="G15" s="220">
        <v>496.19893200000001</v>
      </c>
      <c r="H15" s="220">
        <v>541.99199999999996</v>
      </c>
      <c r="I15" s="220">
        <v>543.39199999999994</v>
      </c>
      <c r="J15" s="220">
        <v>408.21030619999999</v>
      </c>
      <c r="K15" s="220">
        <v>473.99107048999991</v>
      </c>
      <c r="L15" s="220">
        <v>695.3221130928996</v>
      </c>
      <c r="M15" s="220">
        <v>695.64639788499665</v>
      </c>
      <c r="N15" s="220">
        <v>694.71489128133476</v>
      </c>
    </row>
    <row r="16" spans="1:15" ht="17.25" thickBot="1">
      <c r="A16" s="223">
        <v>237</v>
      </c>
      <c r="B16" s="224">
        <v>7.0374896277285322E-4</v>
      </c>
      <c r="C16" s="18">
        <v>538</v>
      </c>
      <c r="D16" s="18">
        <v>504.5</v>
      </c>
      <c r="E16" s="220">
        <v>538.80234599999994</v>
      </c>
      <c r="F16" s="220">
        <v>337.65893199999999</v>
      </c>
      <c r="G16" s="220">
        <v>496.05341499999997</v>
      </c>
      <c r="H16" s="220">
        <v>541.79999999999995</v>
      </c>
      <c r="I16" s="220">
        <v>542.91999999999996</v>
      </c>
      <c r="J16" s="220">
        <v>407.22089140000003</v>
      </c>
      <c r="K16" s="220">
        <v>473.72506576999996</v>
      </c>
      <c r="L16" s="220">
        <v>694.95488463847664</v>
      </c>
      <c r="M16" s="220">
        <v>695.24707665037022</v>
      </c>
      <c r="N16" s="220">
        <v>694.62384468706125</v>
      </c>
    </row>
    <row r="17" spans="1:14" ht="17.25" thickBot="1">
      <c r="A17" s="223">
        <v>269</v>
      </c>
      <c r="B17" s="224">
        <v>7.9706097040596277E-4</v>
      </c>
      <c r="C17" s="18">
        <v>538</v>
      </c>
      <c r="D17" s="18">
        <v>504</v>
      </c>
      <c r="E17" s="220">
        <v>538.59506199999998</v>
      </c>
      <c r="F17" s="220">
        <v>337.586049</v>
      </c>
      <c r="G17" s="220">
        <v>495.88746500000002</v>
      </c>
      <c r="H17" s="220">
        <v>541.43200000000002</v>
      </c>
      <c r="I17" s="220">
        <v>542.62</v>
      </c>
      <c r="J17" s="220">
        <v>407.22077740000003</v>
      </c>
      <c r="K17" s="220">
        <v>473.63050592999991</v>
      </c>
      <c r="L17" s="220">
        <v>694.52510934758118</v>
      </c>
      <c r="M17" s="220">
        <v>694.67982388426674</v>
      </c>
      <c r="N17" s="220">
        <v>694.3832186370538</v>
      </c>
    </row>
    <row r="18" spans="1:14" ht="17.25" thickBot="1">
      <c r="A18" s="223">
        <v>300</v>
      </c>
      <c r="B18" s="224">
        <v>8.9072451560926684E-4</v>
      </c>
      <c r="C18" s="18">
        <v>537</v>
      </c>
      <c r="D18" s="18">
        <v>504</v>
      </c>
      <c r="E18" s="220">
        <v>538.36504600000001</v>
      </c>
      <c r="F18" s="220">
        <v>337.49108699999999</v>
      </c>
      <c r="G18" s="220">
        <v>495.69377399999996</v>
      </c>
      <c r="H18" s="220">
        <v>541.28</v>
      </c>
      <c r="I18" s="220">
        <v>542.33199999999999</v>
      </c>
      <c r="J18" s="220">
        <v>407.22064260000002</v>
      </c>
      <c r="K18" s="220">
        <v>473.57458693999996</v>
      </c>
      <c r="L18" s="220">
        <v>694.18952882323663</v>
      </c>
      <c r="M18" s="220">
        <v>694.25732694272017</v>
      </c>
      <c r="N18" s="220">
        <v>694.22666276664756</v>
      </c>
    </row>
    <row r="19" spans="1:14" ht="17.25" thickBot="1">
      <c r="A19" s="225">
        <v>350</v>
      </c>
      <c r="B19" s="226">
        <v>1.0371228840210522E-3</v>
      </c>
      <c r="C19" s="20">
        <v>537</v>
      </c>
      <c r="D19" s="20">
        <v>503.5</v>
      </c>
      <c r="E19" s="221">
        <v>537.96870999999999</v>
      </c>
      <c r="F19" s="221">
        <v>337.17599899999999</v>
      </c>
      <c r="G19" s="221">
        <v>495.11706199999998</v>
      </c>
      <c r="H19" s="221">
        <v>540.82000000000005</v>
      </c>
      <c r="I19" s="221">
        <v>542.03199999999993</v>
      </c>
      <c r="J19" s="221">
        <v>407.22040720000001</v>
      </c>
      <c r="K19" s="221">
        <v>473.42057146999997</v>
      </c>
      <c r="L19" s="221">
        <v>693.14896502416877</v>
      </c>
      <c r="M19" s="221">
        <v>693.2210459580732</v>
      </c>
      <c r="N19" s="221">
        <v>693.60851892532423</v>
      </c>
    </row>
    <row r="20" spans="1:14" ht="17.25" thickBot="1">
      <c r="A20" s="223">
        <v>399</v>
      </c>
      <c r="B20" s="224">
        <v>1.1843739463748074E-3</v>
      </c>
      <c r="C20" s="18">
        <v>537</v>
      </c>
      <c r="D20" s="18">
        <v>503</v>
      </c>
      <c r="E20" s="220">
        <v>537.760042</v>
      </c>
      <c r="F20" s="220">
        <v>336.81119099999995</v>
      </c>
      <c r="G20" s="220">
        <v>494.72596199999998</v>
      </c>
      <c r="H20" s="220">
        <v>540.27200000000005</v>
      </c>
      <c r="I20" s="220">
        <v>541.6</v>
      </c>
      <c r="J20" s="220">
        <v>407.13090210000001</v>
      </c>
      <c r="K20" s="220">
        <v>472.89201619999994</v>
      </c>
      <c r="L20" s="220">
        <v>692.72240581625908</v>
      </c>
      <c r="M20" s="220">
        <v>692.74913584571368</v>
      </c>
      <c r="N20" s="220">
        <v>693.04697055114275</v>
      </c>
    </row>
    <row r="21" spans="1:14" ht="17.25" thickBot="1">
      <c r="A21" s="223">
        <v>449</v>
      </c>
      <c r="B21" s="224">
        <v>1.3324789543549306E-3</v>
      </c>
      <c r="C21" s="18">
        <v>536</v>
      </c>
      <c r="D21" s="18">
        <v>503</v>
      </c>
      <c r="E21" s="220">
        <v>537.36744899999997</v>
      </c>
      <c r="F21" s="220">
        <v>336.55096000000003</v>
      </c>
      <c r="G21" s="220">
        <v>494.39204899999999</v>
      </c>
      <c r="H21" s="220">
        <v>540.04000000000008</v>
      </c>
      <c r="I21" s="220">
        <v>541.26400000000001</v>
      </c>
      <c r="J21" s="220">
        <v>407.1304682</v>
      </c>
      <c r="K21" s="220">
        <v>472.47555801999988</v>
      </c>
      <c r="L21" s="220">
        <v>692.23742483557419</v>
      </c>
      <c r="M21" s="220">
        <v>692.41163405882514</v>
      </c>
      <c r="N21" s="220">
        <v>692.33303931169758</v>
      </c>
    </row>
    <row r="22" spans="1:14" ht="17.25" thickBot="1">
      <c r="A22" s="223">
        <v>499</v>
      </c>
      <c r="B22" s="224">
        <v>1.4814391580116645E-3</v>
      </c>
      <c r="C22" s="18">
        <v>536</v>
      </c>
      <c r="D22" s="18">
        <v>502.5</v>
      </c>
      <c r="E22" s="220">
        <v>536.99970299999995</v>
      </c>
      <c r="F22" s="220">
        <v>336.46042599999998</v>
      </c>
      <c r="G22" s="220">
        <v>494.186577</v>
      </c>
      <c r="H22" s="220">
        <v>539.52</v>
      </c>
      <c r="I22" s="220">
        <v>540.79199999999992</v>
      </c>
      <c r="J22" s="220">
        <v>406.23065680000002</v>
      </c>
      <c r="K22" s="220">
        <v>471.94000448999992</v>
      </c>
      <c r="L22" s="220">
        <v>691.8140606684392</v>
      </c>
      <c r="M22" s="220">
        <v>692.09319233311294</v>
      </c>
      <c r="N22" s="220">
        <v>691.77710714295108</v>
      </c>
    </row>
    <row r="23" spans="1:14" ht="17.25" thickBot="1">
      <c r="A23" s="223">
        <v>597</v>
      </c>
      <c r="B23" s="224">
        <v>1.7711392212737011E-3</v>
      </c>
      <c r="C23" s="18">
        <v>535</v>
      </c>
      <c r="D23" s="18">
        <v>502</v>
      </c>
      <c r="E23" s="220">
        <v>536.36020800000006</v>
      </c>
      <c r="F23" s="220">
        <v>336.15821999999997</v>
      </c>
      <c r="G23" s="220">
        <v>493.78988099999998</v>
      </c>
      <c r="H23" s="220">
        <v>538.952</v>
      </c>
      <c r="I23" s="220">
        <v>540.31999999999994</v>
      </c>
      <c r="J23" s="220">
        <v>405.24082529999998</v>
      </c>
      <c r="K23" s="220">
        <v>471.52703492000001</v>
      </c>
      <c r="L23" s="220">
        <v>691.21937700918738</v>
      </c>
      <c r="M23" s="220">
        <v>691.05684071381359</v>
      </c>
      <c r="N23" s="220">
        <v>691.29501244293613</v>
      </c>
    </row>
    <row r="24" spans="1:14" ht="17.25" thickBot="1">
      <c r="A24" s="223">
        <v>700</v>
      </c>
      <c r="B24" s="224">
        <v>2.0749430739535478E-3</v>
      </c>
      <c r="C24" s="18">
        <v>535</v>
      </c>
      <c r="D24" s="18">
        <v>501.5</v>
      </c>
      <c r="E24" s="220">
        <v>535.60125600000003</v>
      </c>
      <c r="F24" s="220">
        <v>335.90221399999996</v>
      </c>
      <c r="G24" s="220">
        <v>493.39332199999996</v>
      </c>
      <c r="H24" s="220">
        <v>538.68000000000006</v>
      </c>
      <c r="I24" s="220">
        <v>539.87999999999988</v>
      </c>
      <c r="J24" s="220">
        <v>405.2405071</v>
      </c>
      <c r="K24" s="220">
        <v>471.37658252999995</v>
      </c>
      <c r="L24" s="220">
        <v>690.2543957457757</v>
      </c>
      <c r="M24" s="220">
        <v>690.45442789477431</v>
      </c>
      <c r="N24" s="220">
        <v>690.7894682646388</v>
      </c>
    </row>
    <row r="25" spans="1:14" ht="17.25" thickBot="1">
      <c r="A25" s="223">
        <v>799</v>
      </c>
      <c r="B25" s="224">
        <v>2.3711596334217485E-3</v>
      </c>
      <c r="C25" s="18">
        <v>535</v>
      </c>
      <c r="D25" s="18">
        <v>501</v>
      </c>
      <c r="E25" s="220">
        <v>535.07117899999992</v>
      </c>
      <c r="F25" s="220">
        <v>335.65918199999999</v>
      </c>
      <c r="G25" s="220">
        <v>492.98899</v>
      </c>
      <c r="H25" s="220">
        <v>538.21199999999999</v>
      </c>
      <c r="I25" s="220">
        <v>539.48</v>
      </c>
      <c r="J25" s="220">
        <v>405.24015960000003</v>
      </c>
      <c r="K25" s="220">
        <v>471.01254141999993</v>
      </c>
      <c r="L25" s="220">
        <v>689.72349162116723</v>
      </c>
      <c r="M25" s="220">
        <v>689.9557877529603</v>
      </c>
      <c r="N25" s="220">
        <v>690.2324080958922</v>
      </c>
    </row>
    <row r="26" spans="1:14" ht="17.25" thickBot="1">
      <c r="A26" s="223">
        <v>900</v>
      </c>
      <c r="B26" s="224">
        <v>2.6705887156500911E-3</v>
      </c>
      <c r="C26" s="18">
        <v>534</v>
      </c>
      <c r="D26" s="18">
        <v>500.5</v>
      </c>
      <c r="E26" s="220">
        <v>534.76114099999995</v>
      </c>
      <c r="F26" s="220">
        <v>335.38614200000001</v>
      </c>
      <c r="G26" s="220">
        <v>492.73640600000004</v>
      </c>
      <c r="H26" s="220">
        <v>537.81999999999994</v>
      </c>
      <c r="I26" s="220">
        <v>539.12</v>
      </c>
      <c r="J26" s="220">
        <v>405.1504142</v>
      </c>
      <c r="K26" s="220">
        <v>470.52600209999997</v>
      </c>
      <c r="L26" s="220">
        <v>689.23397224058158</v>
      </c>
      <c r="M26" s="220">
        <v>689.55225433856526</v>
      </c>
      <c r="N26" s="220">
        <v>689.78177829285812</v>
      </c>
    </row>
    <row r="27" spans="1:14" ht="17.25" thickBot="1">
      <c r="A27" s="225">
        <v>999</v>
      </c>
      <c r="B27" s="226">
        <v>2.9619723653162124E-3</v>
      </c>
      <c r="C27" s="20">
        <v>534</v>
      </c>
      <c r="D27" s="20">
        <v>500</v>
      </c>
      <c r="E27" s="221">
        <v>534.13184100000001</v>
      </c>
      <c r="F27" s="221">
        <v>335.190945</v>
      </c>
      <c r="G27" s="221">
        <v>492.33855600000004</v>
      </c>
      <c r="H27" s="221">
        <v>537.5200000000001</v>
      </c>
      <c r="I27" s="221">
        <v>538.71999999999991</v>
      </c>
      <c r="J27" s="221">
        <v>404.25059119999997</v>
      </c>
      <c r="K27" s="221">
        <v>470.37905311999998</v>
      </c>
      <c r="L27" s="221">
        <v>688.78180686804262</v>
      </c>
      <c r="M27" s="221">
        <v>688.99801718440187</v>
      </c>
      <c r="N27" s="221">
        <v>689.42673497953172</v>
      </c>
    </row>
    <row r="28" spans="1:14" ht="17.25" thickBot="1">
      <c r="A28" s="223">
        <v>1098</v>
      </c>
      <c r="B28" s="224">
        <v>3.2563511080314733E-3</v>
      </c>
      <c r="C28" s="18">
        <v>533</v>
      </c>
      <c r="D28" s="18">
        <v>500</v>
      </c>
      <c r="E28" s="220">
        <v>533.64847499999996</v>
      </c>
      <c r="F28" s="220">
        <v>335.02946500000002</v>
      </c>
      <c r="G28" s="220">
        <v>491.94016600000003</v>
      </c>
      <c r="H28" s="220">
        <v>537.08000000000004</v>
      </c>
      <c r="I28" s="220">
        <v>538.31600000000003</v>
      </c>
      <c r="J28" s="220">
        <v>404.25029760000001</v>
      </c>
      <c r="K28" s="220">
        <v>470.16555207999994</v>
      </c>
      <c r="L28" s="220">
        <v>688.18867591980609</v>
      </c>
      <c r="M28" s="220">
        <v>688.63148878689003</v>
      </c>
      <c r="N28" s="220">
        <v>688.97463179150532</v>
      </c>
    </row>
    <row r="29" spans="1:14" ht="17.25" thickBot="1">
      <c r="A29" s="223">
        <v>1198</v>
      </c>
      <c r="B29" s="224">
        <v>3.5537328272999828E-3</v>
      </c>
      <c r="C29" s="18">
        <v>533</v>
      </c>
      <c r="D29" s="18">
        <v>499.5</v>
      </c>
      <c r="E29" s="220">
        <v>533.16896199999996</v>
      </c>
      <c r="F29" s="220">
        <v>334.67118199999999</v>
      </c>
      <c r="G29" s="220">
        <v>491.67092299999996</v>
      </c>
      <c r="H29" s="220">
        <v>536.78000000000009</v>
      </c>
      <c r="I29" s="220">
        <v>538.02</v>
      </c>
      <c r="J29" s="220">
        <v>404.16083369999996</v>
      </c>
      <c r="K29" s="220">
        <v>469.53550902999996</v>
      </c>
      <c r="L29" s="220">
        <v>687.67729045473573</v>
      </c>
      <c r="M29" s="220">
        <v>688.15300306588028</v>
      </c>
      <c r="N29" s="220">
        <v>688.31564990828929</v>
      </c>
    </row>
    <row r="30" spans="1:14" ht="17.25" thickBot="1">
      <c r="A30" s="223">
        <v>1299</v>
      </c>
      <c r="B30" s="224">
        <v>3.8541253881151571E-3</v>
      </c>
      <c r="C30" s="18">
        <v>533</v>
      </c>
      <c r="D30" s="18">
        <v>499.5</v>
      </c>
      <c r="E30" s="220">
        <v>532.76362500000005</v>
      </c>
      <c r="F30" s="220">
        <v>334.44000300000005</v>
      </c>
      <c r="G30" s="220">
        <v>491.20650699999999</v>
      </c>
      <c r="H30" s="220">
        <v>536.42000000000007</v>
      </c>
      <c r="I30" s="220">
        <v>537.72</v>
      </c>
      <c r="J30" s="220">
        <v>404.16021579999995</v>
      </c>
      <c r="K30" s="220">
        <v>469.37457739999996</v>
      </c>
      <c r="L30" s="220">
        <v>687.17514871116987</v>
      </c>
      <c r="M30" s="220">
        <v>687.72917396137632</v>
      </c>
      <c r="N30" s="220">
        <v>687.80961252999191</v>
      </c>
    </row>
    <row r="31" spans="1:14" ht="17.25" thickBot="1">
      <c r="A31" s="223">
        <v>1398</v>
      </c>
      <c r="B31" s="224">
        <v>4.1458110600179118E-3</v>
      </c>
      <c r="C31" s="18">
        <v>532</v>
      </c>
      <c r="D31" s="18">
        <v>499</v>
      </c>
      <c r="E31" s="220">
        <v>532.562366</v>
      </c>
      <c r="F31" s="220">
        <v>334.231178</v>
      </c>
      <c r="G31" s="220">
        <v>490.821012</v>
      </c>
      <c r="H31" s="220">
        <v>536.07999999999993</v>
      </c>
      <c r="I31" s="220">
        <v>537.5</v>
      </c>
      <c r="J31" s="220">
        <v>403.26075620000006</v>
      </c>
      <c r="K31" s="220">
        <v>469.23101140999995</v>
      </c>
      <c r="L31" s="220">
        <v>686.60094314078663</v>
      </c>
      <c r="M31" s="220">
        <v>687.33406490651839</v>
      </c>
      <c r="N31" s="220">
        <v>687.38173754822662</v>
      </c>
    </row>
    <row r="32" spans="1:14" ht="17.25" thickBot="1">
      <c r="A32" s="223">
        <v>1497</v>
      </c>
      <c r="B32" s="224">
        <v>4.4402946385861085E-3</v>
      </c>
      <c r="C32" s="18">
        <v>532</v>
      </c>
      <c r="D32" s="18">
        <v>498.5</v>
      </c>
      <c r="E32" s="220">
        <v>531.99533399999996</v>
      </c>
      <c r="F32" s="220">
        <v>334.01568100000003</v>
      </c>
      <c r="G32" s="220">
        <v>490.670727</v>
      </c>
      <c r="H32" s="220">
        <v>535.66</v>
      </c>
      <c r="I32" s="220">
        <v>537.16</v>
      </c>
      <c r="J32" s="220">
        <v>403.26021120000001</v>
      </c>
      <c r="K32" s="220">
        <v>468.58006922999994</v>
      </c>
      <c r="L32" s="220">
        <v>686.26536261644208</v>
      </c>
      <c r="M32" s="220">
        <v>686.74968088273124</v>
      </c>
      <c r="N32" s="220">
        <v>686.9172529574513</v>
      </c>
    </row>
    <row r="33" spans="1:14" ht="17.25" thickBot="1">
      <c r="A33" s="223">
        <v>1597</v>
      </c>
      <c r="B33" s="224">
        <v>4.7375830679764015E-3</v>
      </c>
      <c r="C33" s="18">
        <v>532</v>
      </c>
      <c r="D33" s="18">
        <v>498</v>
      </c>
      <c r="E33" s="220">
        <v>531.597533</v>
      </c>
      <c r="F33" s="220">
        <v>333.91922899999997</v>
      </c>
      <c r="G33" s="220">
        <v>490.52390300000002</v>
      </c>
      <c r="H33" s="220">
        <v>535.39600000000007</v>
      </c>
      <c r="I33" s="220">
        <v>536.6</v>
      </c>
      <c r="J33" s="220">
        <v>403.17042449999997</v>
      </c>
      <c r="K33" s="220">
        <v>468.32804011999991</v>
      </c>
      <c r="L33" s="220">
        <v>685.70698391716235</v>
      </c>
      <c r="M33" s="220">
        <v>686.30998017184402</v>
      </c>
      <c r="N33" s="220">
        <v>686.48827481366516</v>
      </c>
    </row>
    <row r="34" spans="1:14" ht="17.25" thickBot="1">
      <c r="A34" s="225">
        <v>1698</v>
      </c>
      <c r="B34" s="226">
        <v>5.0376832769258454E-3</v>
      </c>
      <c r="C34" s="20">
        <v>532</v>
      </c>
      <c r="D34" s="20">
        <v>498</v>
      </c>
      <c r="E34" s="221">
        <v>531.36240199999997</v>
      </c>
      <c r="F34" s="221">
        <v>333.691283</v>
      </c>
      <c r="G34" s="221">
        <v>490.240565</v>
      </c>
      <c r="H34" s="221">
        <v>535.05200000000002</v>
      </c>
      <c r="I34" s="221">
        <v>536.41200000000003</v>
      </c>
      <c r="J34" s="221">
        <v>402.2705924</v>
      </c>
      <c r="K34" s="221">
        <v>468.27903333999996</v>
      </c>
      <c r="L34" s="221">
        <v>685.27723327430294</v>
      </c>
      <c r="M34" s="221">
        <v>685.91672174487769</v>
      </c>
      <c r="N34" s="221">
        <v>686.17409986038842</v>
      </c>
    </row>
    <row r="35" spans="1:14" ht="17.25" thickBot="1">
      <c r="A35" s="223">
        <v>1800</v>
      </c>
      <c r="B35" s="224">
        <v>5.340602178848265E-3</v>
      </c>
      <c r="C35" s="18">
        <v>531</v>
      </c>
      <c r="D35" s="18">
        <v>498</v>
      </c>
      <c r="E35" s="220">
        <v>530.99645799999996</v>
      </c>
      <c r="F35" s="220">
        <v>333.59003300000001</v>
      </c>
      <c r="G35" s="220">
        <v>489.94555700000001</v>
      </c>
      <c r="H35" s="220">
        <v>534.78</v>
      </c>
      <c r="I35" s="220">
        <v>536.1</v>
      </c>
      <c r="J35" s="220">
        <v>402.27030000000002</v>
      </c>
      <c r="K35" s="220">
        <v>468.07952975999996</v>
      </c>
      <c r="L35" s="220">
        <v>684.96311170552724</v>
      </c>
      <c r="M35" s="220">
        <v>685.44613813153126</v>
      </c>
      <c r="N35" s="220">
        <v>685.78939287970104</v>
      </c>
    </row>
    <row r="36" spans="1:14" ht="17.25" thickBot="1">
      <c r="A36" s="223">
        <v>1899</v>
      </c>
      <c r="B36" s="224">
        <v>5.6340625544659606E-3</v>
      </c>
      <c r="C36" s="18">
        <v>531</v>
      </c>
      <c r="D36" s="18">
        <v>497.5</v>
      </c>
      <c r="E36" s="220">
        <v>530.64926300000002</v>
      </c>
      <c r="F36" s="220">
        <v>333.35379399999999</v>
      </c>
      <c r="G36" s="220">
        <v>489.680339</v>
      </c>
      <c r="H36" s="220">
        <v>534.47200000000009</v>
      </c>
      <c r="I36" s="220">
        <v>535.82399999999996</v>
      </c>
      <c r="J36" s="220">
        <v>402.27011219999997</v>
      </c>
      <c r="K36" s="220">
        <v>467.79605531999994</v>
      </c>
      <c r="L36" s="220">
        <v>684.49832141794013</v>
      </c>
      <c r="M36" s="220">
        <v>685.11070454043556</v>
      </c>
      <c r="N36" s="220">
        <v>685.41570729294222</v>
      </c>
    </row>
    <row r="37" spans="1:14" ht="17.25" thickBot="1">
      <c r="A37" s="223">
        <v>1999</v>
      </c>
      <c r="B37" s="224">
        <v>5.9301330849374743E-3</v>
      </c>
      <c r="C37" s="18">
        <v>531</v>
      </c>
      <c r="D37" s="18">
        <v>497</v>
      </c>
      <c r="E37" s="220">
        <v>530.36615200000006</v>
      </c>
      <c r="F37" s="220">
        <v>333.20743599999997</v>
      </c>
      <c r="G37" s="220">
        <v>489.58313600000002</v>
      </c>
      <c r="H37" s="220">
        <v>534.17200000000003</v>
      </c>
      <c r="I37" s="220">
        <v>535.55199999999991</v>
      </c>
      <c r="J37" s="220">
        <v>402.180545</v>
      </c>
      <c r="K37" s="220">
        <v>467.42150652999993</v>
      </c>
      <c r="L37" s="220">
        <v>684.07792515754045</v>
      </c>
      <c r="M37" s="220">
        <v>684.76515558963956</v>
      </c>
      <c r="N37" s="220">
        <v>685.18411592367897</v>
      </c>
    </row>
    <row r="38" spans="1:14" ht="17.25" thickBot="1">
      <c r="A38" s="223">
        <v>2100</v>
      </c>
      <c r="B38" s="224">
        <v>6.2288198474361846E-3</v>
      </c>
      <c r="C38" s="18">
        <v>531</v>
      </c>
      <c r="D38" s="18">
        <v>497</v>
      </c>
      <c r="E38" s="220">
        <v>530.16050199999995</v>
      </c>
      <c r="F38" s="220">
        <v>333.04694599999999</v>
      </c>
      <c r="G38" s="220">
        <v>489.20225799999997</v>
      </c>
      <c r="H38" s="220">
        <v>533.98000000000013</v>
      </c>
      <c r="I38" s="220">
        <v>535.33199999999999</v>
      </c>
      <c r="J38" s="220">
        <v>402.12064359999999</v>
      </c>
      <c r="K38" s="220">
        <v>467.27458081999998</v>
      </c>
      <c r="L38" s="220">
        <v>683.67417983918835</v>
      </c>
      <c r="M38" s="220">
        <v>684.40853064787109</v>
      </c>
      <c r="N38" s="220">
        <v>684.91925098644469</v>
      </c>
    </row>
    <row r="39" spans="1:14" ht="17.25" thickBot="1">
      <c r="A39" s="223">
        <v>2197</v>
      </c>
      <c r="B39" s="224">
        <v>6.5175219285151529E-3</v>
      </c>
      <c r="C39" s="18">
        <v>530</v>
      </c>
      <c r="D39" s="18">
        <v>496.5</v>
      </c>
      <c r="E39" s="220">
        <v>529.83241399999997</v>
      </c>
      <c r="F39" s="220">
        <v>332.901163</v>
      </c>
      <c r="G39" s="220">
        <v>489.022717</v>
      </c>
      <c r="H39" s="220">
        <v>533.78000000000009</v>
      </c>
      <c r="I39" s="220">
        <v>535.04</v>
      </c>
      <c r="J39" s="220">
        <v>401.28072050000003</v>
      </c>
      <c r="K39" s="220">
        <v>467.22900267</v>
      </c>
      <c r="L39" s="220">
        <v>683.32390024368942</v>
      </c>
      <c r="M39" s="220">
        <v>684.07102886098255</v>
      </c>
      <c r="N39" s="220">
        <v>684.63730685656526</v>
      </c>
    </row>
    <row r="40" spans="1:14" ht="17.25" thickBot="1">
      <c r="A40" s="223">
        <v>2300</v>
      </c>
      <c r="B40" s="224">
        <v>6.8213497006792976E-3</v>
      </c>
      <c r="C40" s="18">
        <v>530</v>
      </c>
      <c r="D40" s="18">
        <v>496.5</v>
      </c>
      <c r="E40" s="220">
        <v>529.64279599999998</v>
      </c>
      <c r="F40" s="220">
        <v>332.802437</v>
      </c>
      <c r="G40" s="220">
        <v>488.73997600000001</v>
      </c>
      <c r="H40" s="220">
        <v>533.62000000000012</v>
      </c>
      <c r="I40" s="220">
        <v>534.82000000000005</v>
      </c>
      <c r="J40" s="220">
        <v>401.28022560000005</v>
      </c>
      <c r="K40" s="220">
        <v>467.02255534</v>
      </c>
      <c r="L40" s="220">
        <v>682.97965880781476</v>
      </c>
      <c r="M40" s="220">
        <v>683.63825693200727</v>
      </c>
      <c r="N40" s="220">
        <v>684.31817423612506</v>
      </c>
    </row>
    <row r="41" spans="1:14" ht="17.25" thickBot="1">
      <c r="A41" s="223">
        <v>2399</v>
      </c>
      <c r="B41" s="224">
        <v>7.1149896930503172E-3</v>
      </c>
      <c r="C41" s="18">
        <v>530</v>
      </c>
      <c r="D41" s="18">
        <v>496</v>
      </c>
      <c r="E41" s="220">
        <v>529.36283500000002</v>
      </c>
      <c r="F41" s="220">
        <v>332.58869299999998</v>
      </c>
      <c r="G41" s="220">
        <v>488.53807899999998</v>
      </c>
      <c r="H41" s="220">
        <v>533.33199999999999</v>
      </c>
      <c r="I41" s="220">
        <v>534.53200000000004</v>
      </c>
      <c r="J41" s="220">
        <v>401.19088739999995</v>
      </c>
      <c r="K41" s="220">
        <v>466.64100248999995</v>
      </c>
      <c r="L41" s="220">
        <v>682.70012798326297</v>
      </c>
      <c r="M41" s="220">
        <v>683.29699079563193</v>
      </c>
      <c r="N41" s="220">
        <v>683.84675551929377</v>
      </c>
    </row>
    <row r="42" spans="1:14" ht="17.25" thickBot="1">
      <c r="A42" s="223">
        <v>2499</v>
      </c>
      <c r="B42" s="224">
        <v>7.4110541886457078E-3</v>
      </c>
      <c r="C42" s="18">
        <v>530</v>
      </c>
      <c r="D42" s="18">
        <v>496</v>
      </c>
      <c r="E42" s="220">
        <v>529.06971799999997</v>
      </c>
      <c r="F42" s="220">
        <v>332.40855399999998</v>
      </c>
      <c r="G42" s="220">
        <v>488.28855399999998</v>
      </c>
      <c r="H42" s="220">
        <v>532.97200000000009</v>
      </c>
      <c r="I42" s="220">
        <v>534.23199999999997</v>
      </c>
      <c r="J42" s="220">
        <v>401.19038929999994</v>
      </c>
      <c r="K42" s="220">
        <v>466.37853881999996</v>
      </c>
      <c r="L42" s="220">
        <v>682.43837950653278</v>
      </c>
      <c r="M42" s="220">
        <v>682.93659584043291</v>
      </c>
      <c r="N42" s="220">
        <v>683.52166220050879</v>
      </c>
    </row>
    <row r="43" spans="1:14" ht="17.25" thickBot="1">
      <c r="A43" s="223">
        <v>2599</v>
      </c>
      <c r="B43" s="224">
        <v>7.7095484820947574E-3</v>
      </c>
      <c r="C43" s="18">
        <v>529</v>
      </c>
      <c r="D43" s="18">
        <v>495.5</v>
      </c>
      <c r="E43" s="220">
        <v>528.76513299999999</v>
      </c>
      <c r="F43" s="220">
        <v>332.26563299999998</v>
      </c>
      <c r="G43" s="220">
        <v>488.14218799999998</v>
      </c>
      <c r="H43" s="220">
        <v>532.69999999999993</v>
      </c>
      <c r="I43" s="220">
        <v>533.98</v>
      </c>
      <c r="J43" s="220">
        <v>401.10046390000002</v>
      </c>
      <c r="K43" s="220">
        <v>466.17907903999998</v>
      </c>
      <c r="L43" s="220">
        <v>682.19254501697742</v>
      </c>
      <c r="M43" s="220">
        <v>682.67332165521191</v>
      </c>
      <c r="N43" s="220">
        <v>683.16855336958599</v>
      </c>
    </row>
    <row r="44" spans="1:14" ht="17.25" thickBot="1">
      <c r="A44" s="223">
        <v>2696</v>
      </c>
      <c r="B44" s="224">
        <v>7.9973432651895427E-3</v>
      </c>
      <c r="C44" s="18">
        <v>529</v>
      </c>
      <c r="D44" s="18">
        <v>495.5</v>
      </c>
      <c r="E44" s="220">
        <v>528.49774500000001</v>
      </c>
      <c r="F44" s="220">
        <v>332.17565400000001</v>
      </c>
      <c r="G44" s="220">
        <v>487.94232300000004</v>
      </c>
      <c r="H44" s="220">
        <v>532.48</v>
      </c>
      <c r="I44" s="220">
        <v>533.72</v>
      </c>
      <c r="J44" s="220">
        <v>400.29080420000003</v>
      </c>
      <c r="K44" s="220">
        <v>466.11603949999994</v>
      </c>
      <c r="L44" s="220">
        <v>681.89429019742386</v>
      </c>
      <c r="M44" s="220">
        <v>682.39158404935017</v>
      </c>
      <c r="N44" s="220">
        <v>682.92293405236126</v>
      </c>
    </row>
    <row r="45" spans="1:14" ht="17.25" thickBot="1">
      <c r="A45" s="223">
        <v>2798</v>
      </c>
      <c r="B45" s="224">
        <v>8.3006067846898412E-3</v>
      </c>
      <c r="C45" s="18">
        <v>529</v>
      </c>
      <c r="D45" s="18">
        <v>495</v>
      </c>
      <c r="E45" s="220">
        <v>528.24064999999996</v>
      </c>
      <c r="F45" s="220">
        <v>332.08601200000004</v>
      </c>
      <c r="G45" s="220">
        <v>487.73683699999998</v>
      </c>
      <c r="H45" s="220">
        <v>532.32000000000005</v>
      </c>
      <c r="I45" s="220">
        <v>533.52</v>
      </c>
      <c r="J45" s="220">
        <v>400.2904542</v>
      </c>
      <c r="K45" s="220">
        <v>465.96554129999998</v>
      </c>
      <c r="L45" s="220">
        <v>681.65833514124415</v>
      </c>
      <c r="M45" s="220">
        <v>682.09113955557348</v>
      </c>
      <c r="N45" s="220">
        <v>682.63107002170159</v>
      </c>
    </row>
    <row r="46" spans="1:14" ht="17.25" thickBot="1">
      <c r="A46" s="223">
        <v>2897</v>
      </c>
      <c r="B46" s="224">
        <v>8.5929730826806681E-3</v>
      </c>
      <c r="C46" s="18">
        <v>529</v>
      </c>
      <c r="D46" s="18">
        <v>495</v>
      </c>
      <c r="E46" s="220">
        <v>528.043094</v>
      </c>
      <c r="F46" s="220">
        <v>331.91843799999998</v>
      </c>
      <c r="G46" s="220">
        <v>487.501687</v>
      </c>
      <c r="H46" s="220">
        <v>532.03199999999993</v>
      </c>
      <c r="I46" s="220">
        <v>533.38000000000011</v>
      </c>
      <c r="J46" s="220">
        <v>400.29014800000004</v>
      </c>
      <c r="K46" s="220">
        <v>465.64006969999997</v>
      </c>
      <c r="L46" s="220">
        <v>681.3651013423206</v>
      </c>
      <c r="M46" s="220">
        <v>681.73053269641719</v>
      </c>
      <c r="N46" s="220">
        <v>682.3937274301162</v>
      </c>
    </row>
    <row r="47" spans="1:14" ht="17.25" thickBot="1">
      <c r="A47" s="223">
        <v>2996</v>
      </c>
      <c r="B47" s="224">
        <v>8.8875813496427127E-3</v>
      </c>
      <c r="C47" s="18">
        <v>528</v>
      </c>
      <c r="D47" s="18">
        <v>494.5</v>
      </c>
      <c r="E47" s="220">
        <v>527.74121000000002</v>
      </c>
      <c r="F47" s="220">
        <v>331.773799</v>
      </c>
      <c r="G47" s="220">
        <v>487.29678000000001</v>
      </c>
      <c r="H47" s="220">
        <v>531.88</v>
      </c>
      <c r="I47" s="220">
        <v>533.15200000000004</v>
      </c>
      <c r="J47" s="220">
        <v>400.20046660000003</v>
      </c>
      <c r="K47" s="220">
        <v>465.27608186999993</v>
      </c>
      <c r="L47" s="220">
        <v>681.07106922364108</v>
      </c>
      <c r="M47" s="220">
        <v>681.46510886327644</v>
      </c>
      <c r="N47" s="220">
        <v>682.11308566648734</v>
      </c>
    </row>
    <row r="48" spans="1:14" ht="17.25" thickBot="1">
      <c r="A48" s="223">
        <v>3096</v>
      </c>
      <c r="B48" s="224">
        <v>9.1844361751022615E-3</v>
      </c>
      <c r="C48" s="18">
        <v>528</v>
      </c>
      <c r="D48" s="18">
        <v>494.5</v>
      </c>
      <c r="E48" s="220">
        <v>527.46926600000006</v>
      </c>
      <c r="F48" s="220">
        <v>331.61497699999995</v>
      </c>
      <c r="G48" s="220">
        <v>487.08298300000001</v>
      </c>
      <c r="H48" s="220">
        <v>531.58000000000004</v>
      </c>
      <c r="I48" s="220">
        <v>532.97199999999998</v>
      </c>
      <c r="J48" s="220">
        <v>400.20011360000001</v>
      </c>
      <c r="K48" s="220">
        <v>465.17457387999997</v>
      </c>
      <c r="L48" s="220">
        <v>680.52676801057498</v>
      </c>
      <c r="M48" s="220">
        <v>681.30108861453493</v>
      </c>
      <c r="N48" s="220">
        <v>681.76844815479387</v>
      </c>
    </row>
    <row r="49" spans="1:14" ht="17.25" thickBot="1">
      <c r="A49" s="223">
        <v>3197</v>
      </c>
      <c r="B49" s="224">
        <v>9.4835421401018496E-3</v>
      </c>
      <c r="C49" s="18">
        <v>528</v>
      </c>
      <c r="D49" s="18">
        <v>494</v>
      </c>
      <c r="E49" s="220">
        <v>527.27997700000003</v>
      </c>
      <c r="F49" s="220">
        <v>331.45922300000001</v>
      </c>
      <c r="G49" s="220">
        <v>486.82328900000005</v>
      </c>
      <c r="H49" s="220">
        <v>531.28000000000009</v>
      </c>
      <c r="I49" s="220">
        <v>532.67200000000003</v>
      </c>
      <c r="J49" s="220">
        <v>399.30079540000003</v>
      </c>
      <c r="K49" s="220">
        <v>465.12200696999997</v>
      </c>
      <c r="L49" s="220">
        <v>680.22932203188304</v>
      </c>
      <c r="M49" s="220">
        <v>680.96646872146232</v>
      </c>
      <c r="N49" s="220">
        <v>681.46497049423022</v>
      </c>
    </row>
    <row r="50" spans="1:14" ht="17.25" thickBot="1">
      <c r="A50" s="223">
        <v>3299</v>
      </c>
      <c r="B50" s="224">
        <v>9.7849038172445734E-3</v>
      </c>
      <c r="C50" s="18">
        <v>528</v>
      </c>
      <c r="D50" s="18">
        <v>494</v>
      </c>
      <c r="E50" s="220">
        <v>527.08890900000006</v>
      </c>
      <c r="F50" s="220">
        <v>331.23484999999999</v>
      </c>
      <c r="G50" s="220">
        <v>486.58392500000002</v>
      </c>
      <c r="H50" s="220">
        <v>531</v>
      </c>
      <c r="I50" s="220">
        <v>532.38</v>
      </c>
      <c r="J50" s="220">
        <v>399.30031169999995</v>
      </c>
      <c r="K50" s="220">
        <v>464.91557101999996</v>
      </c>
      <c r="L50" s="220">
        <v>679.88644965692731</v>
      </c>
      <c r="M50" s="220">
        <v>680.75710242543232</v>
      </c>
      <c r="N50" s="220">
        <v>681.20510685999125</v>
      </c>
    </row>
    <row r="51" spans="1:14" ht="17.25" thickBot="1">
      <c r="A51" s="225">
        <v>3397</v>
      </c>
      <c r="B51" s="226">
        <v>1.0074675673507429E-2</v>
      </c>
      <c r="C51" s="20">
        <v>528</v>
      </c>
      <c r="D51" s="20">
        <v>494</v>
      </c>
      <c r="E51" s="221">
        <v>526.79513600000007</v>
      </c>
      <c r="F51" s="221">
        <v>331.14876399999997</v>
      </c>
      <c r="G51" s="221">
        <v>486.43740200000002</v>
      </c>
      <c r="H51" s="221">
        <v>530.81200000000001</v>
      </c>
      <c r="I51" s="221">
        <v>532.21199999999999</v>
      </c>
      <c r="J51" s="221">
        <v>399.21090069999997</v>
      </c>
      <c r="K51" s="221">
        <v>464.7125077799999</v>
      </c>
      <c r="L51" s="221">
        <v>679.62488483029347</v>
      </c>
      <c r="M51" s="221">
        <v>680.44818695983417</v>
      </c>
      <c r="N51" s="221">
        <v>680.83720610799469</v>
      </c>
    </row>
    <row r="52" spans="1:14" ht="17.25" thickBot="1">
      <c r="A52" s="223">
        <v>3500</v>
      </c>
      <c r="B52" s="224">
        <v>1.0380459413570787E-2</v>
      </c>
      <c r="C52" s="18">
        <v>528</v>
      </c>
      <c r="D52" s="18">
        <v>493.5</v>
      </c>
      <c r="E52" s="220">
        <v>526.596768</v>
      </c>
      <c r="F52" s="220">
        <v>331.05742200000003</v>
      </c>
      <c r="G52" s="220">
        <v>486.138442</v>
      </c>
      <c r="H52" s="220">
        <v>530.62</v>
      </c>
      <c r="I52" s="220">
        <v>532.00400000000002</v>
      </c>
      <c r="J52" s="220">
        <v>399.21058589999996</v>
      </c>
      <c r="K52" s="220">
        <v>464.38001135999991</v>
      </c>
      <c r="L52" s="220">
        <v>679.36271254564917</v>
      </c>
      <c r="M52" s="220">
        <v>680.16237090255936</v>
      </c>
      <c r="N52" s="220">
        <v>680.53321570071057</v>
      </c>
    </row>
    <row r="53" spans="1:14" ht="17.25" thickBot="1">
      <c r="A53" s="223">
        <v>3599</v>
      </c>
      <c r="B53" s="224">
        <v>1.0674460629585063E-2</v>
      </c>
      <c r="C53" s="18">
        <v>527</v>
      </c>
      <c r="D53" s="18">
        <v>493.5</v>
      </c>
      <c r="E53" s="220">
        <v>526.362799</v>
      </c>
      <c r="F53" s="220">
        <v>330.87697800000001</v>
      </c>
      <c r="G53" s="220">
        <v>486.00126700000004</v>
      </c>
      <c r="H53" s="220">
        <v>530.46400000000006</v>
      </c>
      <c r="I53" s="220">
        <v>531.81999999999994</v>
      </c>
      <c r="J53" s="220">
        <v>399.21024710000006</v>
      </c>
      <c r="K53" s="220">
        <v>464.19804665999993</v>
      </c>
      <c r="L53" s="220">
        <v>679.1465882422093</v>
      </c>
      <c r="M53" s="220">
        <v>679.94340771176337</v>
      </c>
      <c r="N53" s="220">
        <v>680.31050771590026</v>
      </c>
    </row>
    <row r="54" spans="1:14" ht="17.25" thickBot="1">
      <c r="A54" s="223">
        <v>3699</v>
      </c>
      <c r="B54" s="224">
        <v>1.097053336726753E-2</v>
      </c>
      <c r="C54" s="18">
        <v>527</v>
      </c>
      <c r="D54" s="18">
        <v>493</v>
      </c>
      <c r="E54" s="220">
        <v>526.07361400000002</v>
      </c>
      <c r="F54" s="220">
        <v>330.75740500000001</v>
      </c>
      <c r="G54" s="220">
        <v>485.78003000000001</v>
      </c>
      <c r="H54" s="220">
        <v>530.26</v>
      </c>
      <c r="I54" s="220">
        <v>531.62800000000004</v>
      </c>
      <c r="J54" s="220">
        <v>399.12087250000002</v>
      </c>
      <c r="K54" s="220">
        <v>464.07904629999996</v>
      </c>
      <c r="L54" s="220">
        <v>678.89605640008813</v>
      </c>
      <c r="M54" s="220">
        <v>679.58685340464717</v>
      </c>
      <c r="N54" s="220">
        <v>680.03280129986933</v>
      </c>
    </row>
    <row r="55" spans="1:14" ht="17.25" thickBot="1">
      <c r="A55" s="223">
        <v>3799</v>
      </c>
      <c r="B55" s="224">
        <v>1.1268681568274591E-2</v>
      </c>
      <c r="C55" s="18">
        <v>527</v>
      </c>
      <c r="D55" s="18">
        <v>493</v>
      </c>
      <c r="E55" s="220">
        <v>525.8034879999999</v>
      </c>
      <c r="F55" s="220">
        <v>330.66259299999996</v>
      </c>
      <c r="G55" s="220">
        <v>485.59950800000001</v>
      </c>
      <c r="H55" s="220">
        <v>530.1</v>
      </c>
      <c r="I55" s="220">
        <v>531.41999999999996</v>
      </c>
      <c r="J55" s="220">
        <v>399.1200316</v>
      </c>
      <c r="K55" s="220">
        <v>463.98106775999992</v>
      </c>
      <c r="L55" s="220">
        <v>678.70389953734309</v>
      </c>
      <c r="M55" s="220">
        <v>679.28879069817606</v>
      </c>
      <c r="N55" s="220">
        <v>679.92106104717129</v>
      </c>
    </row>
    <row r="56" spans="1:14" ht="17.25" thickBot="1">
      <c r="A56" s="223">
        <v>3900</v>
      </c>
      <c r="B56" s="224">
        <v>1.1568909167465852E-2</v>
      </c>
      <c r="C56" s="18">
        <v>527</v>
      </c>
      <c r="D56" s="18">
        <v>492.5</v>
      </c>
      <c r="E56" s="220">
        <v>525.54483700000003</v>
      </c>
      <c r="F56" s="220">
        <v>330.54302300000001</v>
      </c>
      <c r="G56" s="220">
        <v>485.43724300000002</v>
      </c>
      <c r="H56" s="220">
        <v>529.94399999999996</v>
      </c>
      <c r="I56" s="220">
        <v>531.27200000000005</v>
      </c>
      <c r="J56" s="220">
        <v>398.31058489999998</v>
      </c>
      <c r="K56" s="220">
        <v>463.87257619999997</v>
      </c>
      <c r="L56" s="220">
        <v>678.4939639326011</v>
      </c>
      <c r="M56" s="220">
        <v>679.02580471550868</v>
      </c>
      <c r="N56" s="220">
        <v>679.68525309494862</v>
      </c>
    </row>
    <row r="57" spans="1:14" ht="17.25" thickBot="1">
      <c r="A57" s="223">
        <v>3997</v>
      </c>
      <c r="B57" s="224">
        <v>1.1856777035728376E-2</v>
      </c>
      <c r="C57" s="18">
        <v>527</v>
      </c>
      <c r="D57" s="18">
        <v>492.5</v>
      </c>
      <c r="E57" s="220">
        <v>525.36184900000001</v>
      </c>
      <c r="F57" s="220">
        <v>330.44402600000001</v>
      </c>
      <c r="G57" s="220">
        <v>485.38782299999997</v>
      </c>
      <c r="H57" s="220">
        <v>529.77200000000005</v>
      </c>
      <c r="I57" s="220">
        <v>531.10400000000004</v>
      </c>
      <c r="J57" s="220">
        <v>398.31017869999994</v>
      </c>
      <c r="K57" s="220">
        <v>463.75356061999992</v>
      </c>
      <c r="L57" s="220">
        <v>678.37726842345137</v>
      </c>
      <c r="M57" s="220">
        <v>678.78453557898354</v>
      </c>
      <c r="N57" s="220">
        <v>679.35136344899161</v>
      </c>
    </row>
    <row r="58" spans="1:14" ht="17.25" thickBot="1">
      <c r="A58" s="223">
        <v>4100</v>
      </c>
      <c r="B58" s="224">
        <v>1.2161075727279397E-2</v>
      </c>
      <c r="C58" s="18">
        <v>527</v>
      </c>
      <c r="D58" s="18">
        <v>492.5</v>
      </c>
      <c r="E58" s="220">
        <v>525.14598599999999</v>
      </c>
      <c r="F58" s="220">
        <v>330.34650800000003</v>
      </c>
      <c r="G58" s="220">
        <v>485.19846699999999</v>
      </c>
      <c r="H58" s="220">
        <v>529.524</v>
      </c>
      <c r="I58" s="220">
        <v>530.98</v>
      </c>
      <c r="J58" s="220">
        <v>398.22076200000004</v>
      </c>
      <c r="K58" s="220">
        <v>463.44901786999998</v>
      </c>
      <c r="L58" s="220">
        <v>678.09491596681494</v>
      </c>
      <c r="M58" s="220">
        <v>678.53100143483834</v>
      </c>
      <c r="N58" s="220">
        <v>679.06300335771959</v>
      </c>
    </row>
    <row r="59" spans="1:14" ht="17.25" thickBot="1">
      <c r="A59" s="223">
        <v>4198</v>
      </c>
      <c r="B59" s="224">
        <v>1.2452827938585705E-2</v>
      </c>
      <c r="C59" s="18">
        <v>526</v>
      </c>
      <c r="D59" s="18">
        <v>492</v>
      </c>
      <c r="E59" s="220">
        <v>524.84017900000003</v>
      </c>
      <c r="F59" s="220">
        <v>330.21728200000001</v>
      </c>
      <c r="G59" s="220">
        <v>484.997953</v>
      </c>
      <c r="H59" s="220">
        <v>529.35200000000009</v>
      </c>
      <c r="I59" s="220">
        <v>530.68799999999999</v>
      </c>
      <c r="J59" s="220">
        <v>398.22036810000003</v>
      </c>
      <c r="K59" s="220">
        <v>463.14804067999989</v>
      </c>
      <c r="L59" s="220">
        <v>677.88066804245477</v>
      </c>
      <c r="M59" s="220">
        <v>678.25228997225383</v>
      </c>
      <c r="N59" s="220">
        <v>678.77613689816053</v>
      </c>
    </row>
    <row r="60" spans="1:14" ht="17.25" thickBot="1">
      <c r="A60" s="223">
        <v>4297</v>
      </c>
      <c r="B60" s="224">
        <v>1.2746480103144997E-2</v>
      </c>
      <c r="C60" s="18">
        <v>526</v>
      </c>
      <c r="D60" s="18">
        <v>492</v>
      </c>
      <c r="E60" s="220">
        <v>524.60300100000006</v>
      </c>
      <c r="F60" s="220">
        <v>330.089091</v>
      </c>
      <c r="G60" s="220">
        <v>484.90302299999996</v>
      </c>
      <c r="H60" s="220">
        <v>529.20000000000005</v>
      </c>
      <c r="I60" s="220">
        <v>530.55200000000002</v>
      </c>
      <c r="J60" s="220">
        <v>398.22001069999999</v>
      </c>
      <c r="K60" s="220">
        <v>463.07457908999993</v>
      </c>
      <c r="L60" s="220">
        <v>677.59290011428675</v>
      </c>
      <c r="M60" s="220">
        <v>678.07334822729536</v>
      </c>
      <c r="N60" s="220">
        <v>678.54880479682379</v>
      </c>
    </row>
    <row r="61" spans="1:14" ht="17.25" thickBot="1">
      <c r="A61" s="223">
        <v>4397</v>
      </c>
      <c r="B61" s="224">
        <v>1.3042035591786147E-2</v>
      </c>
      <c r="C61" s="18">
        <v>526</v>
      </c>
      <c r="D61" s="18">
        <v>492</v>
      </c>
      <c r="E61" s="220">
        <v>524.39848200000006</v>
      </c>
      <c r="F61" s="220">
        <v>330.025961</v>
      </c>
      <c r="G61" s="220">
        <v>484.73777899999999</v>
      </c>
      <c r="H61" s="220">
        <v>528.98</v>
      </c>
      <c r="I61" s="220">
        <v>530.38</v>
      </c>
      <c r="J61" s="220">
        <v>398.13027699999998</v>
      </c>
      <c r="K61" s="220">
        <v>463.02900835999992</v>
      </c>
      <c r="L61" s="220">
        <v>677.42182879842039</v>
      </c>
      <c r="M61" s="220">
        <v>677.82218129897126</v>
      </c>
      <c r="N61" s="220">
        <v>678.2782696818407</v>
      </c>
    </row>
    <row r="62" spans="1:14" ht="17.25" thickBot="1">
      <c r="A62" s="223">
        <v>4497</v>
      </c>
      <c r="B62" s="224">
        <v>1.3339497769903182E-2</v>
      </c>
      <c r="C62" s="18">
        <v>526</v>
      </c>
      <c r="D62" s="18">
        <v>491.5</v>
      </c>
      <c r="E62" s="220">
        <v>524.28699499999993</v>
      </c>
      <c r="F62" s="220">
        <v>329.932861</v>
      </c>
      <c r="G62" s="220">
        <v>484.59132</v>
      </c>
      <c r="H62" s="220">
        <v>528.88</v>
      </c>
      <c r="I62" s="220">
        <v>530.22</v>
      </c>
      <c r="J62" s="220">
        <v>397.32086279999999</v>
      </c>
      <c r="K62" s="220">
        <v>462.93103279999991</v>
      </c>
      <c r="L62" s="220">
        <v>677.22482764986057</v>
      </c>
      <c r="M62" s="220">
        <v>677.49006422708021</v>
      </c>
      <c r="N62" s="220">
        <v>678.13798702429824</v>
      </c>
    </row>
    <row r="63" spans="1:14" ht="17.25" thickBot="1">
      <c r="A63" s="223">
        <v>4598</v>
      </c>
      <c r="B63" s="224">
        <v>1.3638869997480088E-2</v>
      </c>
      <c r="C63" s="18">
        <v>526</v>
      </c>
      <c r="D63" s="18">
        <v>491.5</v>
      </c>
      <c r="E63" s="220">
        <v>524.09995400000003</v>
      </c>
      <c r="F63" s="220">
        <v>329.78390199999996</v>
      </c>
      <c r="G63" s="220">
        <v>484.42896500000001</v>
      </c>
      <c r="H63" s="220">
        <v>528.72</v>
      </c>
      <c r="I63" s="220">
        <v>530.05200000000002</v>
      </c>
      <c r="J63" s="220">
        <v>397.32045380000005</v>
      </c>
      <c r="K63" s="220">
        <v>462.73852145999996</v>
      </c>
      <c r="L63" s="220">
        <v>676.96091539828012</v>
      </c>
      <c r="M63" s="220">
        <v>677.31932331344444</v>
      </c>
      <c r="N63" s="220">
        <v>677.91546497641127</v>
      </c>
    </row>
    <row r="64" spans="1:14" ht="17.25" thickBot="1">
      <c r="A64" s="223">
        <v>4700</v>
      </c>
      <c r="B64" s="224">
        <v>1.3940155629115497E-2</v>
      </c>
      <c r="C64" s="18">
        <v>525</v>
      </c>
      <c r="D64" s="18">
        <v>491</v>
      </c>
      <c r="E64" s="220">
        <v>523.90212499999996</v>
      </c>
      <c r="F64" s="220">
        <v>329.72621700000002</v>
      </c>
      <c r="G64" s="220">
        <v>484.33692600000001</v>
      </c>
      <c r="H64" s="220">
        <v>528.48</v>
      </c>
      <c r="I64" s="220">
        <v>529.80799999999999</v>
      </c>
      <c r="J64" s="220">
        <v>397.32015730000006</v>
      </c>
      <c r="K64" s="220">
        <v>462.5180353799999</v>
      </c>
      <c r="L64" s="220">
        <v>676.73783343339915</v>
      </c>
      <c r="M64" s="220">
        <v>677.06756728553364</v>
      </c>
      <c r="N64" s="220">
        <v>677.65140999354753</v>
      </c>
    </row>
    <row r="65" spans="1:14" ht="17.25" thickBot="1">
      <c r="A65" s="223">
        <v>4797</v>
      </c>
      <c r="B65" s="224">
        <v>1.4228152320266739E-2</v>
      </c>
      <c r="C65" s="18">
        <v>525</v>
      </c>
      <c r="D65" s="18">
        <v>491</v>
      </c>
      <c r="E65" s="220">
        <v>523.66466200000002</v>
      </c>
      <c r="F65" s="220">
        <v>329.62992600000001</v>
      </c>
      <c r="G65" s="220">
        <v>484.09306800000002</v>
      </c>
      <c r="H65" s="220">
        <v>528.28</v>
      </c>
      <c r="I65" s="220">
        <v>529.60799999999995</v>
      </c>
      <c r="J65" s="220">
        <v>397.23074200000002</v>
      </c>
      <c r="K65" s="220">
        <v>462.32200812999992</v>
      </c>
      <c r="L65" s="220">
        <v>676.51745817522419</v>
      </c>
      <c r="M65" s="220">
        <v>676.84882166263878</v>
      </c>
      <c r="N65" s="220">
        <v>677.4896447253567</v>
      </c>
    </row>
    <row r="66" spans="1:14" ht="17.25" thickBot="1">
      <c r="A66" s="223">
        <v>4900</v>
      </c>
      <c r="B66" s="224">
        <v>1.4533178718200358E-2</v>
      </c>
      <c r="C66" s="18">
        <v>525</v>
      </c>
      <c r="D66" s="18">
        <v>491</v>
      </c>
      <c r="E66" s="220">
        <v>523.427819</v>
      </c>
      <c r="F66" s="220">
        <v>329.47316999999998</v>
      </c>
      <c r="G66" s="220">
        <v>483.95475999999996</v>
      </c>
      <c r="H66" s="220">
        <v>528.08799999999997</v>
      </c>
      <c r="I66" s="220">
        <v>529.428</v>
      </c>
      <c r="J66" s="220">
        <v>397.23039790000001</v>
      </c>
      <c r="K66" s="220">
        <v>462.0805300699999</v>
      </c>
      <c r="L66" s="220">
        <v>676.2561193794777</v>
      </c>
      <c r="M66" s="220">
        <v>676.66212798686172</v>
      </c>
      <c r="N66" s="220">
        <v>677.32534636393848</v>
      </c>
    </row>
    <row r="67" spans="1:14" ht="17.25" thickBot="1">
      <c r="A67" s="225">
        <v>4998</v>
      </c>
      <c r="B67" s="226">
        <v>1.4824735172649E-2</v>
      </c>
      <c r="C67" s="20">
        <v>525</v>
      </c>
      <c r="D67" s="20">
        <v>490.5</v>
      </c>
      <c r="E67" s="221">
        <v>523.24286400000005</v>
      </c>
      <c r="F67" s="221">
        <v>329.40249999999997</v>
      </c>
      <c r="G67" s="221">
        <v>483.86807299999998</v>
      </c>
      <c r="H67" s="221">
        <v>527.97199999999998</v>
      </c>
      <c r="I67" s="221">
        <v>529.23199999999997</v>
      </c>
      <c r="J67" s="221">
        <v>397.23007699999999</v>
      </c>
      <c r="K67" s="221">
        <v>462.02801216999995</v>
      </c>
      <c r="L67" s="221">
        <v>676.03355885968756</v>
      </c>
      <c r="M67" s="221">
        <v>676.35150801983798</v>
      </c>
      <c r="N67" s="221">
        <v>677.14075911140219</v>
      </c>
    </row>
    <row r="68" spans="1:14" ht="17.25" thickBot="1">
      <c r="A68" s="223">
        <v>5196</v>
      </c>
      <c r="B68" s="224">
        <v>1.5413066761051782E-2</v>
      </c>
      <c r="C68" s="18">
        <v>525</v>
      </c>
      <c r="D68" s="18">
        <v>490.5</v>
      </c>
      <c r="E68" s="220">
        <v>522.83977900000002</v>
      </c>
      <c r="F68" s="220">
        <v>329.22992099999999</v>
      </c>
      <c r="G68" s="220">
        <v>483.54002200000002</v>
      </c>
      <c r="H68" s="220">
        <v>527.57999999999993</v>
      </c>
      <c r="I68" s="220">
        <v>528.93200000000002</v>
      </c>
      <c r="J68" s="220">
        <v>396.33074370000003</v>
      </c>
      <c r="K68" s="220">
        <v>461.88102659999998</v>
      </c>
      <c r="L68" s="220">
        <v>675.38447835150805</v>
      </c>
      <c r="M68" s="220">
        <v>675.88388072189935</v>
      </c>
      <c r="N68" s="220">
        <v>676.62212798099267</v>
      </c>
    </row>
    <row r="69" spans="1:14" ht="17.25" thickBot="1">
      <c r="A69" s="223">
        <v>5397</v>
      </c>
      <c r="B69" s="224">
        <v>1.6008511017937661E-2</v>
      </c>
      <c r="C69" s="18">
        <v>525</v>
      </c>
      <c r="D69" s="18">
        <v>490</v>
      </c>
      <c r="E69" s="220">
        <v>522.58542799999998</v>
      </c>
      <c r="F69" s="220">
        <v>329.01623600000005</v>
      </c>
      <c r="G69" s="220">
        <v>483.28691900000001</v>
      </c>
      <c r="H69" s="220">
        <v>527.25199999999995</v>
      </c>
      <c r="I69" s="220">
        <v>528.48</v>
      </c>
      <c r="J69" s="220">
        <v>396.24090840000002</v>
      </c>
      <c r="K69" s="220">
        <v>461.60805490999996</v>
      </c>
      <c r="L69" s="220">
        <v>674.86857918396788</v>
      </c>
      <c r="M69" s="220">
        <v>675.54282648948106</v>
      </c>
      <c r="N69" s="220">
        <v>676.28534182362671</v>
      </c>
    </row>
    <row r="70" spans="1:14" ht="17.25" thickBot="1">
      <c r="A70" s="223">
        <v>5598</v>
      </c>
      <c r="B70" s="224">
        <v>1.6603816006017829E-2</v>
      </c>
      <c r="C70" s="18">
        <v>524</v>
      </c>
      <c r="D70" s="18">
        <v>489.5</v>
      </c>
      <c r="E70" s="220">
        <v>522.24886100000003</v>
      </c>
      <c r="F70" s="220">
        <v>328.759412</v>
      </c>
      <c r="G70" s="220">
        <v>482.89989499999996</v>
      </c>
      <c r="H70" s="220">
        <v>526.96</v>
      </c>
      <c r="I70" s="220">
        <v>528.07999999999993</v>
      </c>
      <c r="J70" s="220">
        <v>396.24028179999999</v>
      </c>
      <c r="K70" s="220">
        <v>461.07603737999995</v>
      </c>
      <c r="L70" s="220">
        <v>674.56064631389017</v>
      </c>
      <c r="M70" s="220">
        <v>674.980528966517</v>
      </c>
      <c r="N70" s="220">
        <v>675.80791874613715</v>
      </c>
    </row>
    <row r="71" spans="1:14" ht="17.25" thickBot="1">
      <c r="A71" s="223">
        <v>5800</v>
      </c>
      <c r="B71" s="224">
        <v>1.7202648362839641E-2</v>
      </c>
      <c r="C71" s="18">
        <v>524</v>
      </c>
      <c r="D71" s="18">
        <v>489</v>
      </c>
      <c r="E71" s="220">
        <v>521.87975799999992</v>
      </c>
      <c r="F71" s="220">
        <v>328.60224800000003</v>
      </c>
      <c r="G71" s="220">
        <v>482.63338199999998</v>
      </c>
      <c r="H71" s="220">
        <v>526.572</v>
      </c>
      <c r="I71" s="220">
        <v>527.79600000000005</v>
      </c>
      <c r="J71" s="220">
        <v>396.1506402</v>
      </c>
      <c r="K71" s="220">
        <v>460.92903957999999</v>
      </c>
      <c r="L71" s="220">
        <v>674.14806695501738</v>
      </c>
      <c r="M71" s="220">
        <v>674.55301181112293</v>
      </c>
      <c r="N71" s="220">
        <v>675.38716886568716</v>
      </c>
    </row>
    <row r="72" spans="1:14" ht="17.25" thickBot="1">
      <c r="A72" s="223">
        <v>5996</v>
      </c>
      <c r="B72" s="224">
        <v>1.7786523465521623E-2</v>
      </c>
      <c r="C72" s="18">
        <v>524</v>
      </c>
      <c r="D72" s="18">
        <v>489</v>
      </c>
      <c r="E72" s="220">
        <v>521.49658899999997</v>
      </c>
      <c r="F72" s="220">
        <v>328.35114600000003</v>
      </c>
      <c r="G72" s="220">
        <v>482.32649900000001</v>
      </c>
      <c r="H72" s="220">
        <v>526.28800000000001</v>
      </c>
      <c r="I72" s="220">
        <v>527.48</v>
      </c>
      <c r="J72" s="220">
        <v>396.0606439</v>
      </c>
      <c r="K72" s="220">
        <v>460.77854168999994</v>
      </c>
      <c r="L72" s="220">
        <v>673.65878417581973</v>
      </c>
      <c r="M72" s="220">
        <v>674.09867699978952</v>
      </c>
      <c r="N72" s="220">
        <v>675.06607578555554</v>
      </c>
    </row>
    <row r="73" spans="1:14" ht="17.25" thickBot="1">
      <c r="A73" s="223">
        <v>6199</v>
      </c>
      <c r="B73" s="224">
        <v>1.8388716416308744E-2</v>
      </c>
      <c r="C73" s="18">
        <v>523</v>
      </c>
      <c r="D73" s="18">
        <v>488.5</v>
      </c>
      <c r="E73" s="220">
        <v>521.14640299999996</v>
      </c>
      <c r="F73" s="220">
        <v>328.20254399999999</v>
      </c>
      <c r="G73" s="220">
        <v>482.13156799999996</v>
      </c>
      <c r="H73" s="220">
        <v>525.97200000000009</v>
      </c>
      <c r="I73" s="220">
        <v>527.17200000000003</v>
      </c>
      <c r="J73" s="220">
        <v>395.34009050000003</v>
      </c>
      <c r="K73" s="220">
        <v>460.51252381999996</v>
      </c>
      <c r="L73" s="220">
        <v>673.29411865612531</v>
      </c>
      <c r="M73" s="220">
        <v>673.62632472109215</v>
      </c>
      <c r="N73" s="220">
        <v>674.74110102984741</v>
      </c>
    </row>
    <row r="74" spans="1:14" ht="17.25" thickBot="1">
      <c r="A74" s="223">
        <v>6396</v>
      </c>
      <c r="B74" s="224">
        <v>1.8972697532744984E-2</v>
      </c>
      <c r="C74" s="18">
        <v>523</v>
      </c>
      <c r="D74" s="18">
        <v>488.5</v>
      </c>
      <c r="E74" s="220">
        <v>520.76235899999995</v>
      </c>
      <c r="F74" s="220">
        <v>327.99883</v>
      </c>
      <c r="G74" s="220">
        <v>481.83454399999999</v>
      </c>
      <c r="H74" s="220">
        <v>525.68799999999999</v>
      </c>
      <c r="I74" s="220">
        <v>526.87200000000007</v>
      </c>
      <c r="J74" s="220">
        <v>395.25029430000001</v>
      </c>
      <c r="K74" s="220">
        <v>460.02605212999993</v>
      </c>
      <c r="L74" s="220">
        <v>672.93933196060311</v>
      </c>
      <c r="M74" s="220">
        <v>673.31134644783367</v>
      </c>
      <c r="N74" s="220">
        <v>674.28179209887765</v>
      </c>
    </row>
    <row r="75" spans="1:14" ht="17.25" thickBot="1">
      <c r="A75" s="223">
        <v>6599</v>
      </c>
      <c r="B75" s="224">
        <v>1.957383460258183E-2</v>
      </c>
      <c r="C75" s="18">
        <v>523</v>
      </c>
      <c r="D75" s="18">
        <v>488</v>
      </c>
      <c r="E75" s="220">
        <v>520.42446099999995</v>
      </c>
      <c r="F75" s="220">
        <v>327.80150300000003</v>
      </c>
      <c r="G75" s="220">
        <v>481.471632</v>
      </c>
      <c r="H75" s="220">
        <v>525.38</v>
      </c>
      <c r="I75" s="220">
        <v>526.70000000000005</v>
      </c>
      <c r="J75" s="220">
        <v>395.1602785</v>
      </c>
      <c r="K75" s="220">
        <v>459.87901533999997</v>
      </c>
      <c r="L75" s="220">
        <v>672.44345035717015</v>
      </c>
      <c r="M75" s="220">
        <v>672.83648568401077</v>
      </c>
      <c r="N75" s="220">
        <v>673.86612763144853</v>
      </c>
    </row>
    <row r="76" spans="1:14" ht="17.25" thickBot="1">
      <c r="A76" s="225">
        <v>6794</v>
      </c>
      <c r="B76" s="226">
        <v>2.0153398189951637E-2</v>
      </c>
      <c r="C76" s="20">
        <v>523</v>
      </c>
      <c r="D76" s="20">
        <v>487.5</v>
      </c>
      <c r="E76" s="221">
        <v>520.12814300000002</v>
      </c>
      <c r="F76" s="221">
        <v>327.63313099999999</v>
      </c>
      <c r="G76" s="221">
        <v>481.19802199999998</v>
      </c>
      <c r="H76" s="221">
        <v>524.952</v>
      </c>
      <c r="I76" s="221">
        <v>526.32000000000005</v>
      </c>
      <c r="J76" s="221">
        <v>395.07017009999993</v>
      </c>
      <c r="K76" s="221">
        <v>459.66553433999997</v>
      </c>
      <c r="L76" s="221">
        <v>672.08175019214309</v>
      </c>
      <c r="M76" s="221">
        <v>672.51375360292877</v>
      </c>
      <c r="N76" s="221">
        <v>673.43217197299032</v>
      </c>
    </row>
    <row r="77" spans="1:14" ht="17.25" thickBot="1">
      <c r="A77" s="223">
        <v>6995</v>
      </c>
      <c r="B77" s="224">
        <v>2.0748847510822878E-2</v>
      </c>
      <c r="C77" s="18">
        <v>522</v>
      </c>
      <c r="D77" s="18">
        <v>487.5</v>
      </c>
      <c r="E77" s="220">
        <v>519.77808599999992</v>
      </c>
      <c r="F77" s="220">
        <v>327.48803100000003</v>
      </c>
      <c r="G77" s="220">
        <v>480.90767199999999</v>
      </c>
      <c r="H77" s="220">
        <v>524.63199999999995</v>
      </c>
      <c r="I77" s="220">
        <v>525.96</v>
      </c>
      <c r="J77" s="220">
        <v>394.35026200000004</v>
      </c>
      <c r="K77" s="220">
        <v>459.33300887999991</v>
      </c>
      <c r="L77" s="220">
        <v>671.85953843300706</v>
      </c>
      <c r="M77" s="220">
        <v>672.17026718398142</v>
      </c>
      <c r="N77" s="220">
        <v>673.1376438759911</v>
      </c>
    </row>
    <row r="78" spans="1:14" ht="17.25" thickBot="1">
      <c r="A78" s="223">
        <v>7194</v>
      </c>
      <c r="B78" s="224">
        <v>2.1339929396217427E-2</v>
      </c>
      <c r="C78" s="18">
        <v>522</v>
      </c>
      <c r="D78" s="18">
        <v>487</v>
      </c>
      <c r="E78" s="220">
        <v>519.52409699999998</v>
      </c>
      <c r="F78" s="220">
        <v>327.23834900000003</v>
      </c>
      <c r="G78" s="220">
        <v>480.62303500000002</v>
      </c>
      <c r="H78" s="220">
        <v>524.37199999999996</v>
      </c>
      <c r="I78" s="220">
        <v>525.65200000000004</v>
      </c>
      <c r="J78" s="220">
        <v>394.26040039999998</v>
      </c>
      <c r="K78" s="220">
        <v>458.97600586999994</v>
      </c>
      <c r="L78" s="220">
        <v>671.43297922509737</v>
      </c>
      <c r="M78" s="220">
        <v>671.7831421993277</v>
      </c>
      <c r="N78" s="220">
        <v>672.8758342042438</v>
      </c>
    </row>
    <row r="79" spans="1:14" ht="17.25" thickBot="1">
      <c r="A79" s="223">
        <v>7399</v>
      </c>
      <c r="B79" s="224">
        <v>2.1946608357083442E-2</v>
      </c>
      <c r="C79" s="18">
        <v>522</v>
      </c>
      <c r="D79" s="18">
        <v>487</v>
      </c>
      <c r="E79" s="220">
        <v>519.36003300000004</v>
      </c>
      <c r="F79" s="220">
        <v>327.08710200000002</v>
      </c>
      <c r="G79" s="220">
        <v>480.38304500000004</v>
      </c>
      <c r="H79" s="220">
        <v>524.07999999999993</v>
      </c>
      <c r="I79" s="220">
        <v>525.39199999999994</v>
      </c>
      <c r="J79" s="220">
        <v>394.17070539999997</v>
      </c>
      <c r="K79" s="220">
        <v>458.82905165999995</v>
      </c>
      <c r="L79" s="220">
        <v>670.9964077774938</v>
      </c>
      <c r="M79" s="220">
        <v>671.46601943167991</v>
      </c>
      <c r="N79" s="220">
        <v>672.36553119362395</v>
      </c>
    </row>
    <row r="80" spans="1:14" ht="17.25" thickBot="1">
      <c r="A80" s="223">
        <v>7594</v>
      </c>
      <c r="B80" s="224">
        <v>2.2525804255830451E-2</v>
      </c>
      <c r="C80" s="18">
        <v>521</v>
      </c>
      <c r="D80" s="18">
        <v>486.5</v>
      </c>
      <c r="E80" s="220">
        <v>519.09442899999999</v>
      </c>
      <c r="F80" s="220">
        <v>326.87606999999997</v>
      </c>
      <c r="G80" s="220">
        <v>480.14475199999998</v>
      </c>
      <c r="H80" s="220">
        <v>523.83199999999999</v>
      </c>
      <c r="I80" s="220">
        <v>525.15200000000004</v>
      </c>
      <c r="J80" s="220">
        <v>394.1702148</v>
      </c>
      <c r="K80" s="220">
        <v>458.60850148999992</v>
      </c>
      <c r="L80" s="220">
        <v>670.60832782551222</v>
      </c>
      <c r="M80" s="220">
        <v>671.06478259845358</v>
      </c>
      <c r="N80" s="220">
        <v>672.03997502653158</v>
      </c>
    </row>
    <row r="81" spans="1:14" ht="17.25" thickBot="1">
      <c r="A81" s="223">
        <v>7794</v>
      </c>
      <c r="B81" s="224">
        <v>2.3119167821711507E-2</v>
      </c>
      <c r="C81" s="18">
        <v>521</v>
      </c>
      <c r="D81" s="18">
        <v>486.5</v>
      </c>
      <c r="E81" s="220">
        <v>518.82754</v>
      </c>
      <c r="F81" s="220">
        <v>326.77470400000004</v>
      </c>
      <c r="G81" s="220">
        <v>479.907149</v>
      </c>
      <c r="H81" s="220">
        <v>523.59600000000012</v>
      </c>
      <c r="I81" s="220">
        <v>524.92400000000009</v>
      </c>
      <c r="J81" s="220">
        <v>393.9602653</v>
      </c>
      <c r="K81" s="220">
        <v>458.41951878999993</v>
      </c>
      <c r="L81" s="220">
        <v>670.31210036866548</v>
      </c>
      <c r="M81" s="220">
        <v>670.68940305333388</v>
      </c>
      <c r="N81" s="220">
        <v>671.73976127316814</v>
      </c>
    </row>
    <row r="82" spans="1:14" ht="17.25" thickBot="1">
      <c r="A82" s="223">
        <v>7999</v>
      </c>
      <c r="B82" s="224">
        <v>2.372702164240801E-2</v>
      </c>
      <c r="C82" s="18">
        <v>521</v>
      </c>
      <c r="D82" s="18">
        <v>486</v>
      </c>
      <c r="E82" s="220">
        <v>518.58111100000008</v>
      </c>
      <c r="F82" s="220">
        <v>326.58398799999998</v>
      </c>
      <c r="G82" s="220">
        <v>479.624145</v>
      </c>
      <c r="H82" s="220">
        <v>523.35199999999998</v>
      </c>
      <c r="I82" s="220">
        <v>524.69200000000012</v>
      </c>
      <c r="J82" s="220">
        <v>393.3600189</v>
      </c>
      <c r="K82" s="220">
        <v>458.19901987999998</v>
      </c>
      <c r="L82" s="220">
        <v>669.91133818713115</v>
      </c>
      <c r="M82" s="220">
        <v>670.35972868907788</v>
      </c>
      <c r="N82" s="220">
        <v>671.44374926505236</v>
      </c>
    </row>
    <row r="83" spans="1:14" ht="17.25" thickBot="1">
      <c r="A83" s="223">
        <v>8193</v>
      </c>
      <c r="B83" s="224">
        <v>2.4303055605729016E-2</v>
      </c>
      <c r="C83" s="18">
        <v>521</v>
      </c>
      <c r="D83" s="18">
        <v>485.5</v>
      </c>
      <c r="E83" s="220">
        <v>518.34695500000009</v>
      </c>
      <c r="F83" s="220">
        <v>326.41699199999999</v>
      </c>
      <c r="G83" s="220">
        <v>479.45918300000005</v>
      </c>
      <c r="H83" s="220">
        <v>523.16800000000012</v>
      </c>
      <c r="I83" s="220">
        <v>524.41200000000003</v>
      </c>
      <c r="J83" s="220">
        <v>393.27024600000004</v>
      </c>
      <c r="K83" s="220">
        <v>457.92600072999994</v>
      </c>
      <c r="L83" s="220">
        <v>669.6518605403819</v>
      </c>
      <c r="M83" s="220">
        <v>670.06935481972175</v>
      </c>
      <c r="N83" s="220">
        <v>671.15316042647498</v>
      </c>
    </row>
    <row r="84" spans="1:14" ht="17.25" thickBot="1">
      <c r="A84" s="225">
        <v>8400</v>
      </c>
      <c r="B84" s="226">
        <v>2.4915895749754342E-2</v>
      </c>
      <c r="C84" s="20">
        <v>521</v>
      </c>
      <c r="D84" s="20">
        <v>485.5</v>
      </c>
      <c r="E84" s="221">
        <v>518.08563300000003</v>
      </c>
      <c r="F84" s="221">
        <v>326.27988799999997</v>
      </c>
      <c r="G84" s="221">
        <v>479.21494700000005</v>
      </c>
      <c r="H84" s="221">
        <v>522.99199999999996</v>
      </c>
      <c r="I84" s="221">
        <v>524.20000000000005</v>
      </c>
      <c r="J84" s="221">
        <v>393.18057470000002</v>
      </c>
      <c r="K84" s="221">
        <v>457.78254190999991</v>
      </c>
      <c r="L84" s="221">
        <v>669.34473290534083</v>
      </c>
      <c r="M84" s="221">
        <v>669.66640484096922</v>
      </c>
      <c r="N84" s="221">
        <v>670.7783670373309</v>
      </c>
    </row>
    <row r="85" spans="1:14" ht="17.25" thickBot="1">
      <c r="A85" s="223">
        <v>8595</v>
      </c>
      <c r="B85" s="224">
        <v>2.5494312443926272E-2</v>
      </c>
      <c r="C85" s="18">
        <v>520</v>
      </c>
      <c r="D85" s="18">
        <v>485</v>
      </c>
      <c r="E85" s="220">
        <v>517.82545299999992</v>
      </c>
      <c r="F85" s="220">
        <v>326.15623099999999</v>
      </c>
      <c r="G85" s="220">
        <v>478.993786</v>
      </c>
      <c r="H85" s="220">
        <v>522.73199999999997</v>
      </c>
      <c r="I85" s="220">
        <v>524.05200000000002</v>
      </c>
      <c r="J85" s="220">
        <v>393.18015819999999</v>
      </c>
      <c r="K85" s="220">
        <v>457.70902942999993</v>
      </c>
      <c r="L85" s="220">
        <v>669.04496164706552</v>
      </c>
      <c r="M85" s="220">
        <v>669.35151556078688</v>
      </c>
      <c r="N85" s="220">
        <v>670.49621989085676</v>
      </c>
    </row>
    <row r="86" spans="1:14" ht="17.25" thickBot="1">
      <c r="A86" s="223">
        <v>8794</v>
      </c>
      <c r="B86" s="224">
        <v>2.608519075876007E-2</v>
      </c>
      <c r="C86" s="18">
        <v>520</v>
      </c>
      <c r="D86" s="18">
        <v>485</v>
      </c>
      <c r="E86" s="220">
        <v>517.64750000000004</v>
      </c>
      <c r="F86" s="220">
        <v>326.05848900000001</v>
      </c>
      <c r="G86" s="220">
        <v>478.78089700000004</v>
      </c>
      <c r="H86" s="220">
        <v>522.52</v>
      </c>
      <c r="I86" s="220">
        <v>523.75199999999995</v>
      </c>
      <c r="J86" s="220">
        <v>393.09022599999997</v>
      </c>
      <c r="K86" s="220">
        <v>457.4535117399999</v>
      </c>
      <c r="L86" s="220">
        <v>668.61056449541786</v>
      </c>
      <c r="M86" s="220">
        <v>669.11511833826933</v>
      </c>
      <c r="N86" s="220">
        <v>670.18524483156796</v>
      </c>
    </row>
    <row r="87" spans="1:14" ht="17.25" thickBot="1">
      <c r="A87" s="223">
        <v>8998</v>
      </c>
      <c r="B87" s="224">
        <v>2.6688780819792906E-2</v>
      </c>
      <c r="C87" s="18">
        <v>520</v>
      </c>
      <c r="D87" s="18">
        <v>484.5</v>
      </c>
      <c r="E87" s="220">
        <v>517.328846</v>
      </c>
      <c r="F87" s="220">
        <v>325.87275299999999</v>
      </c>
      <c r="G87" s="220">
        <v>478.606829</v>
      </c>
      <c r="H87" s="220">
        <v>522.33600000000001</v>
      </c>
      <c r="I87" s="220">
        <v>523.58000000000004</v>
      </c>
      <c r="J87" s="220">
        <v>392.3705392</v>
      </c>
      <c r="K87" s="220">
        <v>457.13502303999991</v>
      </c>
      <c r="L87" s="220">
        <v>668.30294006332201</v>
      </c>
      <c r="M87" s="220">
        <v>668.78875751306123</v>
      </c>
      <c r="N87" s="220">
        <v>669.99771056500754</v>
      </c>
    </row>
    <row r="88" spans="1:14" ht="17.25" thickBot="1">
      <c r="A88" s="223">
        <v>9197</v>
      </c>
      <c r="B88" s="224">
        <v>2.7279385329931408E-2</v>
      </c>
      <c r="C88" s="18">
        <v>520</v>
      </c>
      <c r="D88" s="18">
        <v>484.5</v>
      </c>
      <c r="E88" s="220">
        <v>517.10003900000004</v>
      </c>
      <c r="F88" s="220">
        <v>325.76187100000004</v>
      </c>
      <c r="G88" s="220">
        <v>478.32672100000002</v>
      </c>
      <c r="H88" s="220">
        <v>522.05600000000004</v>
      </c>
      <c r="I88" s="220">
        <v>523.34400000000005</v>
      </c>
      <c r="J88" s="220">
        <v>392.28080699999998</v>
      </c>
      <c r="K88" s="220">
        <v>456.82702719999997</v>
      </c>
      <c r="L88" s="220">
        <v>668.02175638790527</v>
      </c>
      <c r="M88" s="220">
        <v>668.50125799657246</v>
      </c>
      <c r="N88" s="220">
        <v>669.52817318727136</v>
      </c>
    </row>
    <row r="89" spans="1:14" ht="17.25" thickBot="1">
      <c r="A89" s="223">
        <v>9400</v>
      </c>
      <c r="B89" s="224">
        <v>2.788212670375366E-2</v>
      </c>
      <c r="C89" s="18">
        <v>519</v>
      </c>
      <c r="D89" s="18">
        <v>484.5</v>
      </c>
      <c r="E89" s="220">
        <v>516.82546500000001</v>
      </c>
      <c r="F89" s="220">
        <v>325.65864799999997</v>
      </c>
      <c r="G89" s="220">
        <v>478.11017800000002</v>
      </c>
      <c r="H89" s="220">
        <v>521.75199999999995</v>
      </c>
      <c r="I89" s="220">
        <v>522.95600000000002</v>
      </c>
      <c r="J89" s="220">
        <v>392.28001079999996</v>
      </c>
      <c r="K89" s="220">
        <v>456.7220297099999</v>
      </c>
      <c r="L89" s="220">
        <v>667.77498025116972</v>
      </c>
      <c r="M89" s="220">
        <v>668.29920334202802</v>
      </c>
      <c r="N89" s="220">
        <v>669.26788798286566</v>
      </c>
    </row>
    <row r="90" spans="1:14" ht="17.25" thickBot="1">
      <c r="A90" s="223">
        <v>9598</v>
      </c>
      <c r="B90" s="224">
        <v>2.8470233056467328E-2</v>
      </c>
      <c r="C90" s="18">
        <v>519</v>
      </c>
      <c r="D90" s="18">
        <v>484</v>
      </c>
      <c r="E90" s="220">
        <v>516.56464599999993</v>
      </c>
      <c r="F90" s="220">
        <v>325.36294100000003</v>
      </c>
      <c r="G90" s="220">
        <v>477.92354899999998</v>
      </c>
      <c r="H90" s="220">
        <v>521.42000000000007</v>
      </c>
      <c r="I90" s="220">
        <v>522.74399999999991</v>
      </c>
      <c r="J90" s="220">
        <v>392.19045219999992</v>
      </c>
      <c r="K90" s="220">
        <v>456.57151549999992</v>
      </c>
      <c r="L90" s="220">
        <v>667.47861233180117</v>
      </c>
      <c r="M90" s="220">
        <v>668.0730754429951</v>
      </c>
      <c r="N90" s="220">
        <v>669.00618637234072</v>
      </c>
    </row>
    <row r="91" spans="1:14" ht="17.25" thickBot="1">
      <c r="A91" s="223">
        <v>9800</v>
      </c>
      <c r="B91" s="224">
        <v>2.9069863488733087E-2</v>
      </c>
      <c r="C91" s="18">
        <v>519</v>
      </c>
      <c r="D91" s="18">
        <v>484</v>
      </c>
      <c r="E91" s="220">
        <v>516.30284600000005</v>
      </c>
      <c r="F91" s="220">
        <v>325.24629899999996</v>
      </c>
      <c r="G91" s="220">
        <v>477.66666199999997</v>
      </c>
      <c r="H91" s="220">
        <v>521.16000000000008</v>
      </c>
      <c r="I91" s="220">
        <v>522.47199999999998</v>
      </c>
      <c r="J91" s="220">
        <v>392.10065210000005</v>
      </c>
      <c r="K91" s="220">
        <v>456.30905940999997</v>
      </c>
      <c r="L91" s="220">
        <v>667.26249854946695</v>
      </c>
      <c r="M91" s="220">
        <v>667.86377978161761</v>
      </c>
      <c r="N91" s="220">
        <v>668.81813397748112</v>
      </c>
    </row>
    <row r="92" spans="1:14" ht="17.25" thickBot="1">
      <c r="A92" s="223">
        <v>9997</v>
      </c>
      <c r="B92" s="224">
        <v>2.9653181622334709E-2</v>
      </c>
      <c r="C92" s="18">
        <v>519</v>
      </c>
      <c r="D92" s="18">
        <v>483.5</v>
      </c>
      <c r="E92" s="220">
        <v>516.00085200000001</v>
      </c>
      <c r="F92" s="220">
        <v>325.09315800000002</v>
      </c>
      <c r="G92" s="220">
        <v>477.515264</v>
      </c>
      <c r="H92" s="220">
        <v>520.93600000000004</v>
      </c>
      <c r="I92" s="220">
        <v>522.21199999999999</v>
      </c>
      <c r="J92" s="220">
        <v>391.38065310000002</v>
      </c>
      <c r="K92" s="220">
        <v>456.09903335999991</v>
      </c>
      <c r="L92" s="220">
        <v>666.99323219123823</v>
      </c>
      <c r="M92" s="220">
        <v>667.63594252399764</v>
      </c>
      <c r="N92" s="220">
        <v>668.51294873318443</v>
      </c>
    </row>
    <row r="93" spans="1:14" ht="17.25" thickBot="1">
      <c r="A93" s="225">
        <v>10197</v>
      </c>
      <c r="B93" s="226">
        <v>3.0247377956695271E-2</v>
      </c>
      <c r="C93" s="20">
        <v>518</v>
      </c>
      <c r="D93" s="20">
        <v>483.5</v>
      </c>
      <c r="E93" s="221">
        <v>515.787284</v>
      </c>
      <c r="F93" s="221">
        <v>325.01131300000003</v>
      </c>
      <c r="G93" s="221">
        <v>477.30288200000001</v>
      </c>
      <c r="H93" s="221">
        <v>520.70799999999997</v>
      </c>
      <c r="I93" s="221">
        <v>522.00799999999992</v>
      </c>
      <c r="J93" s="221">
        <v>391.29061010000004</v>
      </c>
      <c r="K93" s="221">
        <v>455.87505076999992</v>
      </c>
      <c r="L93" s="221">
        <v>666.6498137231556</v>
      </c>
      <c r="M93" s="221">
        <v>667.27777351531472</v>
      </c>
      <c r="N93" s="221">
        <v>668.18099912423997</v>
      </c>
    </row>
    <row r="94" spans="1:14" ht="17.25" thickBot="1">
      <c r="A94" s="223">
        <v>10392</v>
      </c>
      <c r="B94" s="224">
        <v>3.0823565804702181E-2</v>
      </c>
      <c r="C94" s="18">
        <v>518</v>
      </c>
      <c r="D94" s="18">
        <v>483.5</v>
      </c>
      <c r="E94" s="220">
        <v>515.54815799999994</v>
      </c>
      <c r="F94" s="220">
        <v>324.89430800000002</v>
      </c>
      <c r="G94" s="220">
        <v>477.02146299999998</v>
      </c>
      <c r="H94" s="220">
        <v>520.48400000000004</v>
      </c>
      <c r="I94" s="220">
        <v>521.74800000000005</v>
      </c>
      <c r="J94" s="220">
        <v>391.29028880000004</v>
      </c>
      <c r="K94" s="220">
        <v>455.77000068000001</v>
      </c>
      <c r="L94" s="220">
        <v>666.44853692242987</v>
      </c>
      <c r="M94" s="220">
        <v>667.0840542272316</v>
      </c>
      <c r="N94" s="220">
        <v>667.94987075871052</v>
      </c>
    </row>
    <row r="95" spans="1:14" ht="17.25" thickBot="1">
      <c r="A95" s="223">
        <v>10599</v>
      </c>
      <c r="B95" s="224">
        <v>3.1439548576170866E-2</v>
      </c>
      <c r="C95" s="18">
        <v>518</v>
      </c>
      <c r="D95" s="18">
        <v>483</v>
      </c>
      <c r="E95" s="220">
        <v>515.22697100000005</v>
      </c>
      <c r="F95" s="220">
        <v>324.671629</v>
      </c>
      <c r="G95" s="220">
        <v>476.89493399999998</v>
      </c>
      <c r="H95" s="220">
        <v>520.27200000000005</v>
      </c>
      <c r="I95" s="220">
        <v>521.58000000000004</v>
      </c>
      <c r="J95" s="220">
        <v>391.20076970000002</v>
      </c>
      <c r="K95" s="220">
        <v>455.47252328999991</v>
      </c>
      <c r="L95" s="220">
        <v>666.25493761446592</v>
      </c>
      <c r="M95" s="220">
        <v>666.835999455104</v>
      </c>
      <c r="N95" s="220">
        <v>667.57659462532058</v>
      </c>
    </row>
    <row r="96" spans="1:14" ht="17.25" thickBot="1">
      <c r="A96" s="223">
        <v>10791</v>
      </c>
      <c r="B96" s="224">
        <v>3.2006723366331855E-2</v>
      </c>
      <c r="C96" s="18">
        <v>518</v>
      </c>
      <c r="D96" s="18">
        <v>483</v>
      </c>
      <c r="E96" s="220">
        <v>515.03940599999999</v>
      </c>
      <c r="F96" s="220">
        <v>324.62669299999999</v>
      </c>
      <c r="G96" s="220">
        <v>476.74669800000004</v>
      </c>
      <c r="H96" s="220">
        <v>520.12</v>
      </c>
      <c r="I96" s="220">
        <v>521.39600000000007</v>
      </c>
      <c r="J96" s="220">
        <v>391.2002731</v>
      </c>
      <c r="K96" s="220">
        <v>455.26251699999995</v>
      </c>
      <c r="L96" s="220">
        <v>665.97507260074428</v>
      </c>
      <c r="M96" s="220">
        <v>666.62234468070903</v>
      </c>
      <c r="N96" s="220">
        <v>667.23586104456615</v>
      </c>
    </row>
    <row r="97" spans="1:14" ht="17.25" thickBot="1">
      <c r="A97" s="223">
        <v>10995</v>
      </c>
      <c r="B97" s="224">
        <v>3.2614032828905556E-2</v>
      </c>
      <c r="C97" s="18">
        <v>518</v>
      </c>
      <c r="D97" s="18">
        <v>482.5</v>
      </c>
      <c r="E97" s="220">
        <v>514.78780399999994</v>
      </c>
      <c r="F97" s="220">
        <v>324.47393599999998</v>
      </c>
      <c r="G97" s="220">
        <v>476.59511300000003</v>
      </c>
      <c r="H97" s="220">
        <v>519.88</v>
      </c>
      <c r="I97" s="220">
        <v>521.21199999999999</v>
      </c>
      <c r="J97" s="220">
        <v>391.11062459999999</v>
      </c>
      <c r="K97" s="220">
        <v>455.03507531999998</v>
      </c>
      <c r="L97" s="220">
        <v>665.7550456586697</v>
      </c>
      <c r="M97" s="220">
        <v>666.4343999977325</v>
      </c>
      <c r="N97" s="220">
        <v>666.9613661890503</v>
      </c>
    </row>
    <row r="98" spans="1:14" ht="17.25" thickBot="1">
      <c r="A98" s="223">
        <v>11193</v>
      </c>
      <c r="B98" s="224">
        <v>3.3200901644836404E-2</v>
      </c>
      <c r="C98" s="18">
        <v>518</v>
      </c>
      <c r="D98" s="18">
        <v>482.5</v>
      </c>
      <c r="E98" s="220">
        <v>514.613429</v>
      </c>
      <c r="F98" s="220">
        <v>324.375764</v>
      </c>
      <c r="G98" s="220">
        <v>476.360905</v>
      </c>
      <c r="H98" s="220">
        <v>519.63600000000008</v>
      </c>
      <c r="I98" s="220">
        <v>521.01600000000008</v>
      </c>
      <c r="J98" s="220">
        <v>390.99048159999995</v>
      </c>
      <c r="K98" s="220">
        <v>454.77607806999993</v>
      </c>
      <c r="L98" s="220">
        <v>665.56289240174942</v>
      </c>
      <c r="M98" s="220">
        <v>666.15397431939971</v>
      </c>
      <c r="N98" s="220">
        <v>666.70107177225862</v>
      </c>
    </row>
    <row r="99" spans="1:14" ht="17.25" thickBot="1">
      <c r="A99" s="223">
        <v>11394</v>
      </c>
      <c r="B99" s="224">
        <v>3.379759468754516E-2</v>
      </c>
      <c r="C99" s="18">
        <v>517</v>
      </c>
      <c r="D99" s="18">
        <v>482</v>
      </c>
      <c r="E99" s="220">
        <v>514.44048600000008</v>
      </c>
      <c r="F99" s="220">
        <v>324.2287</v>
      </c>
      <c r="G99" s="220">
        <v>476.193129</v>
      </c>
      <c r="H99" s="220">
        <v>519.42000000000007</v>
      </c>
      <c r="I99" s="220">
        <v>520.78</v>
      </c>
      <c r="J99" s="220">
        <v>390.30088970000003</v>
      </c>
      <c r="K99" s="220">
        <v>454.72004322999999</v>
      </c>
      <c r="L99" s="220">
        <v>665.27508569861504</v>
      </c>
      <c r="M99" s="220">
        <v>665.79454565941649</v>
      </c>
      <c r="N99" s="220">
        <v>666.46893887816543</v>
      </c>
    </row>
    <row r="100" spans="1:14" ht="17.25" thickBot="1">
      <c r="A100" s="223">
        <v>11599</v>
      </c>
      <c r="B100" s="224">
        <v>3.4404265424880412E-2</v>
      </c>
      <c r="C100" s="18">
        <v>517</v>
      </c>
      <c r="D100" s="18">
        <v>482</v>
      </c>
      <c r="E100" s="220">
        <v>514.20043999999996</v>
      </c>
      <c r="F100" s="220">
        <v>324.07600400000001</v>
      </c>
      <c r="G100" s="220">
        <v>476.08759900000001</v>
      </c>
      <c r="H100" s="220">
        <v>519.29199999999992</v>
      </c>
      <c r="I100" s="220">
        <v>520.59600000000012</v>
      </c>
      <c r="J100" s="220">
        <v>390.30039410000006</v>
      </c>
      <c r="K100" s="220">
        <v>454.62206236999998</v>
      </c>
      <c r="L100" s="220">
        <v>665.08955186358753</v>
      </c>
      <c r="M100" s="220">
        <v>665.5257214675255</v>
      </c>
      <c r="N100" s="220">
        <v>666.21725952708516</v>
      </c>
    </row>
    <row r="101" spans="1:14" ht="17.25" thickBot="1">
      <c r="A101" s="225">
        <v>11796</v>
      </c>
      <c r="B101" s="226">
        <v>3.4988351008197797E-2</v>
      </c>
      <c r="C101" s="20">
        <v>517</v>
      </c>
      <c r="D101" s="20">
        <v>482</v>
      </c>
      <c r="E101" s="221">
        <v>514.07773199999997</v>
      </c>
      <c r="F101" s="221">
        <v>324.01453200000003</v>
      </c>
      <c r="G101" s="221">
        <v>475.94558800000004</v>
      </c>
      <c r="H101" s="221">
        <v>519.16000000000008</v>
      </c>
      <c r="I101" s="221">
        <v>520.43600000000004</v>
      </c>
      <c r="J101" s="221">
        <v>390.21080090000004</v>
      </c>
      <c r="K101" s="221">
        <v>454.52407446999996</v>
      </c>
      <c r="L101" s="221">
        <v>664.85152375445352</v>
      </c>
      <c r="M101" s="221">
        <v>665.16644677132649</v>
      </c>
      <c r="N101" s="221">
        <v>666.03811196759784</v>
      </c>
    </row>
    <row r="102" spans="1:14" ht="17.25" thickBot="1">
      <c r="A102" s="223">
        <v>11996</v>
      </c>
      <c r="B102" s="224">
        <v>3.5581665644093888E-2</v>
      </c>
      <c r="C102" s="18">
        <v>517</v>
      </c>
      <c r="D102" s="18">
        <v>481.5</v>
      </c>
      <c r="E102" s="220">
        <v>513.864285</v>
      </c>
      <c r="F102" s="220">
        <v>323.91493300000002</v>
      </c>
      <c r="G102" s="220">
        <v>475.76386699999995</v>
      </c>
      <c r="H102" s="220">
        <v>518.93600000000004</v>
      </c>
      <c r="I102" s="220">
        <v>520.12</v>
      </c>
      <c r="J102" s="220">
        <v>390.21031320000003</v>
      </c>
      <c r="K102" s="220">
        <v>454.32459242999994</v>
      </c>
      <c r="L102" s="220">
        <v>664.62627801472217</v>
      </c>
      <c r="M102" s="220">
        <v>664.8459233485595</v>
      </c>
      <c r="N102" s="220">
        <v>665.82534209336484</v>
      </c>
    </row>
    <row r="103" spans="1:14" ht="17.25" thickBot="1">
      <c r="A103" s="223">
        <v>12199</v>
      </c>
      <c r="B103" s="224">
        <v>3.6184345456209528E-2</v>
      </c>
      <c r="C103" s="18">
        <v>517</v>
      </c>
      <c r="D103" s="18">
        <v>481.5</v>
      </c>
      <c r="E103" s="220">
        <v>513.64355899999998</v>
      </c>
      <c r="F103" s="220">
        <v>323.76113800000002</v>
      </c>
      <c r="G103" s="220">
        <v>475.62166499999995</v>
      </c>
      <c r="H103" s="220">
        <v>518.73599999999999</v>
      </c>
      <c r="I103" s="220">
        <v>519.96399999999994</v>
      </c>
      <c r="J103" s="220">
        <v>390.12062430000003</v>
      </c>
      <c r="K103" s="220">
        <v>454.21957222999993</v>
      </c>
      <c r="L103" s="220">
        <v>664.38214721980955</v>
      </c>
      <c r="M103" s="220">
        <v>664.64217769385198</v>
      </c>
      <c r="N103" s="220">
        <v>665.56866069801788</v>
      </c>
    </row>
    <row r="104" spans="1:14" ht="17.25" thickBot="1">
      <c r="A104" s="223">
        <v>12394</v>
      </c>
      <c r="B104" s="224">
        <v>3.6762266596079021E-2</v>
      </c>
      <c r="C104" s="18">
        <v>517</v>
      </c>
      <c r="D104" s="18">
        <v>481</v>
      </c>
      <c r="E104" s="220">
        <v>513.47334899999998</v>
      </c>
      <c r="F104" s="220">
        <v>323.70268899999996</v>
      </c>
      <c r="G104" s="220">
        <v>475.42516499999999</v>
      </c>
      <c r="H104" s="220">
        <v>518.6</v>
      </c>
      <c r="I104" s="220">
        <v>519.81999999999994</v>
      </c>
      <c r="J104" s="220">
        <v>390.06050770000002</v>
      </c>
      <c r="K104" s="220">
        <v>454.02701596999992</v>
      </c>
      <c r="L104" s="220">
        <v>664.11364937977055</v>
      </c>
      <c r="M104" s="220">
        <v>664.3491996121279</v>
      </c>
      <c r="N104" s="220">
        <v>665.42886314420934</v>
      </c>
    </row>
    <row r="105" spans="1:14" ht="17.25" thickBot="1">
      <c r="A105" s="223">
        <v>12592</v>
      </c>
      <c r="B105" s="224">
        <v>3.7348782128005874E-2</v>
      </c>
      <c r="C105" s="18">
        <v>516</v>
      </c>
      <c r="D105" s="18">
        <v>481</v>
      </c>
      <c r="E105" s="220">
        <v>513.34787000000006</v>
      </c>
      <c r="F105" s="220">
        <v>323.55800599999998</v>
      </c>
      <c r="G105" s="220">
        <v>475.27130299999999</v>
      </c>
      <c r="H105" s="220">
        <v>518.47200000000009</v>
      </c>
      <c r="I105" s="220">
        <v>519.68000000000006</v>
      </c>
      <c r="J105" s="220">
        <v>389.40028489999997</v>
      </c>
      <c r="K105" s="220">
        <v>453.80650065999993</v>
      </c>
      <c r="L105" s="220">
        <v>663.8539493079586</v>
      </c>
      <c r="M105" s="220">
        <v>664.06052756040992</v>
      </c>
      <c r="N105" s="220">
        <v>665.25154104153205</v>
      </c>
    </row>
    <row r="106" spans="1:14" ht="17.25" thickBot="1">
      <c r="A106" s="223">
        <v>12792</v>
      </c>
      <c r="B106" s="224">
        <v>3.794401139123222E-2</v>
      </c>
      <c r="C106" s="18">
        <v>516</v>
      </c>
      <c r="D106" s="18">
        <v>480.5</v>
      </c>
      <c r="E106" s="220">
        <v>513.20926099999997</v>
      </c>
      <c r="F106" s="220">
        <v>323.45827600000001</v>
      </c>
      <c r="G106" s="220">
        <v>475.06834599999996</v>
      </c>
      <c r="H106" s="220">
        <v>518.28</v>
      </c>
      <c r="I106" s="220">
        <v>519.57600000000002</v>
      </c>
      <c r="J106" s="220">
        <v>389.31035750000001</v>
      </c>
      <c r="K106" s="220">
        <v>453.62807431999994</v>
      </c>
      <c r="L106" s="220">
        <v>663.56173264802896</v>
      </c>
      <c r="M106" s="220">
        <v>663.82316404267635</v>
      </c>
      <c r="N106" s="220">
        <v>665.02598473495561</v>
      </c>
    </row>
    <row r="107" spans="1:14" ht="17.25" thickBot="1">
      <c r="A107" s="223">
        <v>12996</v>
      </c>
      <c r="B107" s="224">
        <v>3.8548075273561869E-2</v>
      </c>
      <c r="C107" s="18">
        <v>516</v>
      </c>
      <c r="D107" s="18">
        <v>480.5</v>
      </c>
      <c r="E107" s="220">
        <v>512.99860699999999</v>
      </c>
      <c r="F107" s="220">
        <v>323.326346</v>
      </c>
      <c r="G107" s="220">
        <v>474.90254499999998</v>
      </c>
      <c r="H107" s="220">
        <v>518.02</v>
      </c>
      <c r="I107" s="220">
        <v>519.37200000000007</v>
      </c>
      <c r="J107" s="220">
        <v>389.25061529999999</v>
      </c>
      <c r="K107" s="220">
        <v>453.57903471999992</v>
      </c>
      <c r="L107" s="220">
        <v>663.24243005220092</v>
      </c>
      <c r="M107" s="220">
        <v>663.54547898885471</v>
      </c>
      <c r="N107" s="220">
        <v>664.74629688170887</v>
      </c>
    </row>
    <row r="108" spans="1:14" ht="17.25" thickBot="1">
      <c r="A108" s="223">
        <v>13190</v>
      </c>
      <c r="B108" s="224">
        <v>3.9124786012954028E-2</v>
      </c>
      <c r="C108" s="18">
        <v>516</v>
      </c>
      <c r="D108" s="18">
        <v>480.5</v>
      </c>
      <c r="E108" s="220">
        <v>512.83149199999991</v>
      </c>
      <c r="F108" s="220">
        <v>323.20900999999998</v>
      </c>
      <c r="G108" s="220">
        <v>474.79674900000003</v>
      </c>
      <c r="H108" s="220">
        <v>517.9</v>
      </c>
      <c r="I108" s="220">
        <v>519.12</v>
      </c>
      <c r="J108" s="220">
        <v>389.22041389999998</v>
      </c>
      <c r="K108" s="220">
        <v>453.46358008999994</v>
      </c>
      <c r="L108" s="220">
        <v>663.05610155263696</v>
      </c>
      <c r="M108" s="220">
        <v>663.2606362573315</v>
      </c>
      <c r="N108" s="220">
        <v>664.53554944578275</v>
      </c>
    </row>
    <row r="109" spans="1:14" ht="17.25" thickBot="1">
      <c r="A109" s="223">
        <v>13400</v>
      </c>
      <c r="B109" s="224">
        <v>3.9746350439586027E-2</v>
      </c>
      <c r="C109" s="18">
        <v>516</v>
      </c>
      <c r="D109" s="18">
        <v>480</v>
      </c>
      <c r="E109" s="220">
        <v>512.605279</v>
      </c>
      <c r="F109" s="220">
        <v>323.12665299999998</v>
      </c>
      <c r="G109" s="220">
        <v>474.57584700000001</v>
      </c>
      <c r="H109" s="220">
        <v>517.74400000000003</v>
      </c>
      <c r="I109" s="220">
        <v>518.98</v>
      </c>
      <c r="J109" s="220">
        <v>389.16051529999999</v>
      </c>
      <c r="K109" s="220">
        <v>453.26054005999993</v>
      </c>
      <c r="L109" s="220">
        <v>662.90330827849539</v>
      </c>
      <c r="M109" s="220">
        <v>662.94426192062951</v>
      </c>
      <c r="N109" s="220">
        <v>664.37731405419697</v>
      </c>
    </row>
  </sheetData>
  <sheetProtection algorithmName="SHA-512" hashValue="VC2z+Xg74Ep2IaVaddd8217QgVcqFFHB1iJU46CEnDOQ16DEmeAt/PLgjhlt+H4JMWd1FU5j9oQ/7lexlfnlrg==" saltValue="XF+g4icqhPYei+78PZjBcQ==" spinCount="100000" sheet="1" objects="1" scenarios="1" selectLockedCells="1" selectUnlockedCells="1"/>
  <mergeCells count="7">
    <mergeCell ref="A7:O7"/>
    <mergeCell ref="A1:O1"/>
    <mergeCell ref="A2:O2"/>
    <mergeCell ref="A3:O3"/>
    <mergeCell ref="A4:O4"/>
    <mergeCell ref="A5:O5"/>
    <mergeCell ref="A6:O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24"/>
  <sheetViews>
    <sheetView showGridLines="0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R122" sqref="R5:R122"/>
    </sheetView>
  </sheetViews>
  <sheetFormatPr defaultRowHeight="16.5"/>
  <cols>
    <col min="1" max="1" width="0.875" style="176" customWidth="1"/>
    <col min="2" max="9" width="9" style="176"/>
    <col min="10" max="10" width="8.375" style="176" customWidth="1"/>
    <col min="11" max="16384" width="9" style="176"/>
  </cols>
  <sheetData>
    <row r="1" spans="2:20" ht="5.0999999999999996" customHeight="1"/>
    <row r="2" spans="2:20" ht="27">
      <c r="B2" s="203" t="s">
        <v>1599</v>
      </c>
      <c r="C2" s="204" t="s">
        <v>1591</v>
      </c>
      <c r="D2" s="205" t="s">
        <v>20</v>
      </c>
      <c r="E2" s="205" t="s">
        <v>21</v>
      </c>
      <c r="F2" s="206" t="s">
        <v>44</v>
      </c>
      <c r="G2" s="205" t="s">
        <v>1520</v>
      </c>
      <c r="H2" s="205" t="s">
        <v>1521</v>
      </c>
      <c r="I2" s="205" t="s">
        <v>1522</v>
      </c>
      <c r="J2" s="205" t="s">
        <v>1600</v>
      </c>
      <c r="K2" s="205" t="s">
        <v>1524</v>
      </c>
      <c r="L2" s="205" t="s">
        <v>1601</v>
      </c>
      <c r="M2" s="205" t="s">
        <v>1602</v>
      </c>
      <c r="N2" s="205" t="s">
        <v>1584</v>
      </c>
      <c r="O2" s="205" t="s">
        <v>1585</v>
      </c>
      <c r="P2" s="205" t="s">
        <v>1586</v>
      </c>
      <c r="Q2" s="205" t="s">
        <v>1528</v>
      </c>
      <c r="R2" s="205" t="s">
        <v>1598</v>
      </c>
      <c r="S2" s="205" t="s">
        <v>1587</v>
      </c>
      <c r="T2" s="205" t="s">
        <v>1530</v>
      </c>
    </row>
    <row r="3" spans="2:20" ht="20.25" customHeight="1">
      <c r="B3" s="203" t="s">
        <v>1588</v>
      </c>
      <c r="C3" s="204" t="s">
        <v>1537</v>
      </c>
      <c r="D3" s="207" t="s">
        <v>1537</v>
      </c>
      <c r="E3" s="207" t="s">
        <v>1538</v>
      </c>
      <c r="F3" s="208" t="s">
        <v>1538</v>
      </c>
      <c r="G3" s="207" t="s">
        <v>1539</v>
      </c>
      <c r="H3" s="207" t="s">
        <v>1537</v>
      </c>
      <c r="I3" s="207" t="s">
        <v>1540</v>
      </c>
      <c r="J3" s="207" t="s">
        <v>1539</v>
      </c>
      <c r="K3" s="207" t="s">
        <v>1539</v>
      </c>
      <c r="L3" s="207" t="s">
        <v>1537</v>
      </c>
      <c r="M3" s="207" t="s">
        <v>1537</v>
      </c>
      <c r="N3" s="207" t="s">
        <v>1540</v>
      </c>
      <c r="O3" s="207" t="s">
        <v>1540</v>
      </c>
      <c r="P3" s="207" t="s">
        <v>1541</v>
      </c>
      <c r="Q3" s="207" t="s">
        <v>1540</v>
      </c>
      <c r="R3" s="207" t="s">
        <v>1539</v>
      </c>
      <c r="S3" s="207" t="s">
        <v>1537</v>
      </c>
      <c r="T3" s="207" t="s">
        <v>1539</v>
      </c>
    </row>
    <row r="4" spans="2:20">
      <c r="B4" s="209" t="s">
        <v>1579</v>
      </c>
      <c r="C4" s="210">
        <v>543</v>
      </c>
      <c r="D4" s="211">
        <v>543.79999999999995</v>
      </c>
      <c r="E4" s="211">
        <v>340.2</v>
      </c>
      <c r="F4" s="212">
        <v>500</v>
      </c>
      <c r="G4" s="211">
        <v>679.5</v>
      </c>
      <c r="H4" s="211">
        <v>800</v>
      </c>
      <c r="I4" s="211">
        <v>479.5</v>
      </c>
      <c r="J4" s="211">
        <v>1000</v>
      </c>
      <c r="K4" s="211">
        <v>679.4</v>
      </c>
      <c r="L4" s="211">
        <v>545.5</v>
      </c>
      <c r="M4" s="211">
        <v>546.70000000000005</v>
      </c>
      <c r="N4" s="211">
        <v>700</v>
      </c>
      <c r="O4" s="211">
        <v>476.9</v>
      </c>
      <c r="P4" s="211">
        <v>600</v>
      </c>
      <c r="Q4" s="211">
        <v>497.3</v>
      </c>
      <c r="R4" s="211">
        <v>1000</v>
      </c>
      <c r="S4" s="211">
        <v>570.6</v>
      </c>
      <c r="T4" s="211">
        <v>1000</v>
      </c>
    </row>
    <row r="5" spans="2:20">
      <c r="B5" s="213">
        <v>5.0000000000000001E-3</v>
      </c>
      <c r="C5" s="214">
        <v>543</v>
      </c>
      <c r="D5" s="186">
        <v>543.79999999999995</v>
      </c>
      <c r="E5" s="186">
        <v>340</v>
      </c>
      <c r="F5" s="215">
        <v>499.4</v>
      </c>
      <c r="G5" s="186">
        <v>679.1</v>
      </c>
      <c r="H5" s="186">
        <v>799</v>
      </c>
      <c r="I5" s="186">
        <v>476.7</v>
      </c>
      <c r="J5" s="186">
        <v>998</v>
      </c>
      <c r="K5" s="186">
        <v>677</v>
      </c>
      <c r="L5" s="186">
        <v>545.20000000000005</v>
      </c>
      <c r="M5" s="186">
        <v>546.4</v>
      </c>
      <c r="N5" s="186">
        <v>699.2</v>
      </c>
      <c r="O5" s="186">
        <v>476.8</v>
      </c>
      <c r="P5" s="186">
        <v>598.79999999999995</v>
      </c>
      <c r="Q5" s="186">
        <v>496.6</v>
      </c>
      <c r="R5" s="186">
        <v>999</v>
      </c>
      <c r="S5" s="186">
        <v>570.6</v>
      </c>
      <c r="T5" s="186">
        <v>998.7</v>
      </c>
    </row>
    <row r="6" spans="2:20">
      <c r="B6" s="213">
        <v>7.0000000000000001E-3</v>
      </c>
      <c r="C6" s="214">
        <v>542</v>
      </c>
      <c r="D6" s="186">
        <v>543.20000000000005</v>
      </c>
      <c r="E6" s="186">
        <v>339.6</v>
      </c>
      <c r="F6" s="215">
        <v>499</v>
      </c>
      <c r="G6" s="186">
        <v>678.3</v>
      </c>
      <c r="H6" s="186">
        <v>798</v>
      </c>
      <c r="I6" s="186">
        <v>476.3</v>
      </c>
      <c r="J6" s="186">
        <v>996</v>
      </c>
      <c r="K6" s="186">
        <v>676.1</v>
      </c>
      <c r="L6" s="186">
        <v>544.9</v>
      </c>
      <c r="M6" s="186">
        <v>546</v>
      </c>
      <c r="N6" s="186">
        <v>698.6</v>
      </c>
      <c r="O6" s="186">
        <v>476.2</v>
      </c>
      <c r="P6" s="186">
        <v>597.70000000000005</v>
      </c>
      <c r="Q6" s="186">
        <v>496.3</v>
      </c>
      <c r="R6" s="186">
        <v>998</v>
      </c>
      <c r="S6" s="186">
        <v>570.29999999999995</v>
      </c>
      <c r="T6" s="186">
        <v>998.1</v>
      </c>
    </row>
    <row r="7" spans="2:20">
      <c r="B7" s="213">
        <v>0.01</v>
      </c>
      <c r="C7" s="214">
        <v>541</v>
      </c>
      <c r="D7" s="186">
        <v>542.4</v>
      </c>
      <c r="E7" s="186">
        <v>339.2</v>
      </c>
      <c r="F7" s="215">
        <v>498.5</v>
      </c>
      <c r="G7" s="186">
        <v>677.5</v>
      </c>
      <c r="H7" s="186">
        <v>797</v>
      </c>
      <c r="I7" s="186">
        <v>476</v>
      </c>
      <c r="J7" s="186">
        <v>994</v>
      </c>
      <c r="K7" s="186">
        <v>675</v>
      </c>
      <c r="L7" s="186">
        <v>544</v>
      </c>
      <c r="M7" s="186">
        <v>545</v>
      </c>
      <c r="N7" s="186">
        <v>698</v>
      </c>
      <c r="O7" s="186">
        <v>475.4</v>
      </c>
      <c r="P7" s="186">
        <v>596.6</v>
      </c>
      <c r="Q7" s="186">
        <v>496</v>
      </c>
      <c r="R7" s="186">
        <v>996</v>
      </c>
      <c r="S7" s="186">
        <v>570</v>
      </c>
      <c r="T7" s="186">
        <v>997.5</v>
      </c>
    </row>
    <row r="8" spans="2:20">
      <c r="B8" s="213">
        <v>0.03</v>
      </c>
      <c r="C8" s="214">
        <v>540</v>
      </c>
      <c r="D8" s="186">
        <v>541.5</v>
      </c>
      <c r="E8" s="186">
        <v>338.7</v>
      </c>
      <c r="F8" s="215">
        <v>497.8</v>
      </c>
      <c r="G8" s="186">
        <v>676.2</v>
      </c>
      <c r="H8" s="186">
        <v>795.5</v>
      </c>
      <c r="I8" s="186">
        <v>475</v>
      </c>
      <c r="J8" s="186">
        <v>992</v>
      </c>
      <c r="K8" s="186">
        <v>673.5</v>
      </c>
      <c r="L8" s="186">
        <v>543</v>
      </c>
      <c r="M8" s="186">
        <v>544</v>
      </c>
      <c r="N8" s="186">
        <v>696</v>
      </c>
      <c r="O8" s="186">
        <v>474.6</v>
      </c>
      <c r="P8" s="186">
        <v>594.79999999999995</v>
      </c>
      <c r="Q8" s="186">
        <v>495</v>
      </c>
      <c r="R8" s="186">
        <v>994</v>
      </c>
      <c r="S8" s="186">
        <v>568.79999999999995</v>
      </c>
      <c r="T8" s="186">
        <v>996</v>
      </c>
    </row>
    <row r="9" spans="2:20">
      <c r="B9" s="213">
        <v>0.05</v>
      </c>
      <c r="C9" s="214">
        <v>539</v>
      </c>
      <c r="D9" s="186">
        <v>540.79999999999995</v>
      </c>
      <c r="E9" s="186">
        <v>338.1</v>
      </c>
      <c r="F9" s="215">
        <v>497</v>
      </c>
      <c r="G9" s="186">
        <v>675</v>
      </c>
      <c r="H9" s="186">
        <v>794</v>
      </c>
      <c r="I9" s="186">
        <v>474</v>
      </c>
      <c r="J9" s="186">
        <v>990.5</v>
      </c>
      <c r="K9" s="186">
        <v>672.5</v>
      </c>
      <c r="L9" s="186">
        <v>542</v>
      </c>
      <c r="M9" s="186">
        <v>543</v>
      </c>
      <c r="N9" s="186">
        <v>695</v>
      </c>
      <c r="O9" s="186">
        <v>473.9</v>
      </c>
      <c r="P9" s="186">
        <v>594.4</v>
      </c>
      <c r="Q9" s="186">
        <v>494</v>
      </c>
      <c r="R9" s="186">
        <v>992</v>
      </c>
      <c r="S9" s="186">
        <v>568</v>
      </c>
      <c r="T9" s="186">
        <v>994</v>
      </c>
    </row>
    <row r="10" spans="2:20">
      <c r="B10" s="213">
        <v>7.0000000000000007E-2</v>
      </c>
      <c r="C10" s="214">
        <v>538</v>
      </c>
      <c r="D10" s="186">
        <v>540.1</v>
      </c>
      <c r="E10" s="186">
        <v>337.5</v>
      </c>
      <c r="F10" s="215">
        <v>496</v>
      </c>
      <c r="G10" s="186">
        <v>674</v>
      </c>
      <c r="H10" s="186">
        <v>793</v>
      </c>
      <c r="I10" s="186">
        <v>473.5</v>
      </c>
      <c r="J10" s="186">
        <v>989</v>
      </c>
      <c r="K10" s="186">
        <v>671.5</v>
      </c>
      <c r="L10" s="186">
        <v>541.5</v>
      </c>
      <c r="M10" s="186">
        <v>542.5</v>
      </c>
      <c r="N10" s="186">
        <v>694</v>
      </c>
      <c r="O10" s="186">
        <v>473.2</v>
      </c>
      <c r="P10" s="186">
        <v>593.5</v>
      </c>
      <c r="Q10" s="186">
        <v>493.5</v>
      </c>
      <c r="R10" s="186">
        <v>991</v>
      </c>
      <c r="S10" s="186">
        <v>567.5</v>
      </c>
      <c r="T10" s="186">
        <v>992</v>
      </c>
    </row>
    <row r="11" spans="2:20">
      <c r="B11" s="213">
        <v>0.1</v>
      </c>
      <c r="C11" s="214">
        <v>537</v>
      </c>
      <c r="D11" s="186">
        <v>539.29999999999995</v>
      </c>
      <c r="E11" s="186">
        <v>336.9</v>
      </c>
      <c r="F11" s="215">
        <v>495</v>
      </c>
      <c r="G11" s="186">
        <v>672.7</v>
      </c>
      <c r="H11" s="186">
        <v>791.5</v>
      </c>
      <c r="I11" s="186">
        <v>473</v>
      </c>
      <c r="J11" s="186">
        <v>987.5</v>
      </c>
      <c r="K11" s="186">
        <v>670.5</v>
      </c>
      <c r="L11" s="186">
        <v>541</v>
      </c>
      <c r="M11" s="186">
        <v>542</v>
      </c>
      <c r="N11" s="186">
        <v>693</v>
      </c>
      <c r="O11" s="186">
        <v>472.5</v>
      </c>
      <c r="P11" s="186">
        <v>592</v>
      </c>
      <c r="Q11" s="186">
        <v>493</v>
      </c>
      <c r="R11" s="186">
        <v>989</v>
      </c>
      <c r="S11" s="186">
        <v>567</v>
      </c>
      <c r="T11" s="186">
        <v>990</v>
      </c>
    </row>
    <row r="12" spans="2:20">
      <c r="B12" s="213">
        <v>0.13</v>
      </c>
      <c r="C12" s="214">
        <v>536</v>
      </c>
      <c r="D12" s="186">
        <v>538.20000000000005</v>
      </c>
      <c r="E12" s="186">
        <v>336.3</v>
      </c>
      <c r="F12" s="215">
        <v>494</v>
      </c>
      <c r="G12" s="186">
        <v>671.5</v>
      </c>
      <c r="H12" s="186">
        <v>789.7</v>
      </c>
      <c r="I12" s="186">
        <v>472</v>
      </c>
      <c r="J12" s="186">
        <v>986</v>
      </c>
      <c r="K12" s="186">
        <v>669</v>
      </c>
      <c r="L12" s="186">
        <v>540</v>
      </c>
      <c r="M12" s="186">
        <v>541</v>
      </c>
      <c r="N12" s="186">
        <v>692</v>
      </c>
      <c r="O12" s="186">
        <v>471.8</v>
      </c>
      <c r="P12" s="186">
        <v>591</v>
      </c>
      <c r="Q12" s="186">
        <v>492.5</v>
      </c>
      <c r="R12" s="186">
        <v>988</v>
      </c>
      <c r="S12" s="186">
        <v>566</v>
      </c>
      <c r="T12" s="186">
        <v>988</v>
      </c>
    </row>
    <row r="13" spans="2:20">
      <c r="B13" s="213">
        <v>0.16</v>
      </c>
      <c r="C13" s="214">
        <v>535</v>
      </c>
      <c r="D13" s="186">
        <v>537</v>
      </c>
      <c r="E13" s="186">
        <v>335.7</v>
      </c>
      <c r="F13" s="215">
        <v>493</v>
      </c>
      <c r="G13" s="186">
        <v>670.4</v>
      </c>
      <c r="H13" s="186">
        <v>787.9</v>
      </c>
      <c r="I13" s="186">
        <v>471</v>
      </c>
      <c r="J13" s="186">
        <v>984</v>
      </c>
      <c r="K13" s="186">
        <v>667.5</v>
      </c>
      <c r="L13" s="186">
        <v>538.5</v>
      </c>
      <c r="M13" s="186">
        <v>539.5</v>
      </c>
      <c r="N13" s="186">
        <v>690</v>
      </c>
      <c r="O13" s="186">
        <v>471</v>
      </c>
      <c r="P13" s="186">
        <v>590</v>
      </c>
      <c r="Q13" s="186">
        <v>491</v>
      </c>
      <c r="R13" s="186">
        <v>986</v>
      </c>
      <c r="S13" s="186">
        <v>564.5</v>
      </c>
      <c r="T13" s="186">
        <v>986</v>
      </c>
    </row>
    <row r="14" spans="2:20">
      <c r="B14" s="213">
        <v>0.2</v>
      </c>
      <c r="C14" s="214">
        <v>534</v>
      </c>
      <c r="D14" s="186">
        <v>535.79999999999995</v>
      </c>
      <c r="E14" s="186">
        <v>335.1</v>
      </c>
      <c r="F14" s="215">
        <v>492</v>
      </c>
      <c r="G14" s="186">
        <v>669.2</v>
      </c>
      <c r="H14" s="186">
        <v>786</v>
      </c>
      <c r="I14" s="186">
        <v>470</v>
      </c>
      <c r="J14" s="186">
        <v>982</v>
      </c>
      <c r="K14" s="186">
        <v>666</v>
      </c>
      <c r="L14" s="186">
        <v>537</v>
      </c>
      <c r="M14" s="186">
        <v>538.29999999999995</v>
      </c>
      <c r="N14" s="186">
        <v>688.5</v>
      </c>
      <c r="O14" s="186">
        <v>470.2</v>
      </c>
      <c r="P14" s="186">
        <v>589</v>
      </c>
      <c r="Q14" s="186">
        <v>489.9</v>
      </c>
      <c r="R14" s="186">
        <v>984</v>
      </c>
      <c r="S14" s="186">
        <v>563</v>
      </c>
      <c r="T14" s="186">
        <v>984</v>
      </c>
    </row>
    <row r="15" spans="2:20">
      <c r="B15" s="213">
        <v>0.23</v>
      </c>
      <c r="C15" s="214">
        <v>533</v>
      </c>
      <c r="D15" s="186">
        <v>534.70000000000005</v>
      </c>
      <c r="E15" s="186">
        <v>334.4</v>
      </c>
      <c r="F15" s="215">
        <v>491.2</v>
      </c>
      <c r="G15" s="186">
        <v>668</v>
      </c>
      <c r="H15" s="186">
        <v>784.6</v>
      </c>
      <c r="I15" s="186">
        <v>469</v>
      </c>
      <c r="J15" s="186">
        <v>980</v>
      </c>
      <c r="K15" s="186">
        <v>664.5</v>
      </c>
      <c r="L15" s="186">
        <v>536</v>
      </c>
      <c r="M15" s="186">
        <v>537.20000000000005</v>
      </c>
      <c r="N15" s="186">
        <v>687</v>
      </c>
      <c r="O15" s="186">
        <v>469.3</v>
      </c>
      <c r="P15" s="186">
        <v>588</v>
      </c>
      <c r="Q15" s="186">
        <v>489.2</v>
      </c>
      <c r="R15" s="186">
        <v>982.5</v>
      </c>
      <c r="S15" s="186">
        <v>562</v>
      </c>
      <c r="T15" s="186">
        <v>982</v>
      </c>
    </row>
    <row r="16" spans="2:20">
      <c r="B16" s="213">
        <v>0.27</v>
      </c>
      <c r="C16" s="214">
        <v>532</v>
      </c>
      <c r="D16" s="186">
        <v>533.5</v>
      </c>
      <c r="E16" s="186">
        <v>333.7</v>
      </c>
      <c r="F16" s="215">
        <v>490.5</v>
      </c>
      <c r="G16" s="186">
        <v>666.7</v>
      </c>
      <c r="H16" s="186">
        <v>783.2</v>
      </c>
      <c r="I16" s="186">
        <v>468</v>
      </c>
      <c r="J16" s="186">
        <v>978</v>
      </c>
      <c r="K16" s="186">
        <v>663.5</v>
      </c>
      <c r="L16" s="186">
        <v>535.5</v>
      </c>
      <c r="M16" s="186">
        <v>536.20000000000005</v>
      </c>
      <c r="N16" s="186">
        <v>686</v>
      </c>
      <c r="O16" s="186">
        <v>468.4</v>
      </c>
      <c r="P16" s="186">
        <v>586.5</v>
      </c>
      <c r="Q16" s="186">
        <v>488.7</v>
      </c>
      <c r="R16" s="186">
        <v>981</v>
      </c>
      <c r="S16" s="186">
        <v>561</v>
      </c>
      <c r="T16" s="186">
        <v>980</v>
      </c>
    </row>
    <row r="17" spans="2:20">
      <c r="B17" s="213">
        <v>0.3</v>
      </c>
      <c r="C17" s="214">
        <v>531</v>
      </c>
      <c r="D17" s="186">
        <v>532.5</v>
      </c>
      <c r="E17" s="186">
        <v>333</v>
      </c>
      <c r="F17" s="215">
        <v>489.5</v>
      </c>
      <c r="G17" s="186">
        <v>665.2</v>
      </c>
      <c r="H17" s="186">
        <v>781.4</v>
      </c>
      <c r="I17" s="186">
        <v>467</v>
      </c>
      <c r="J17" s="186">
        <v>976</v>
      </c>
      <c r="K17" s="186">
        <v>662</v>
      </c>
      <c r="L17" s="186">
        <v>534.4</v>
      </c>
      <c r="M17" s="186">
        <v>535.20000000000005</v>
      </c>
      <c r="N17" s="186">
        <v>684.4</v>
      </c>
      <c r="O17" s="186">
        <v>467.5</v>
      </c>
      <c r="P17" s="186">
        <v>585</v>
      </c>
      <c r="Q17" s="186">
        <v>487.9</v>
      </c>
      <c r="R17" s="186">
        <v>979</v>
      </c>
      <c r="S17" s="186">
        <v>559.79999999999995</v>
      </c>
      <c r="T17" s="186">
        <v>978</v>
      </c>
    </row>
    <row r="18" spans="2:20">
      <c r="B18" s="213">
        <v>0.4</v>
      </c>
      <c r="C18" s="214">
        <v>530</v>
      </c>
      <c r="D18" s="186">
        <v>531.5</v>
      </c>
      <c r="E18" s="186">
        <v>332.3</v>
      </c>
      <c r="F18" s="215">
        <v>488.3</v>
      </c>
      <c r="G18" s="186">
        <v>663.5</v>
      </c>
      <c r="H18" s="186">
        <v>779.6</v>
      </c>
      <c r="I18" s="186">
        <v>466</v>
      </c>
      <c r="J18" s="186">
        <v>974</v>
      </c>
      <c r="K18" s="186">
        <v>660.5</v>
      </c>
      <c r="L18" s="186">
        <v>533</v>
      </c>
      <c r="M18" s="186">
        <v>534.20000000000005</v>
      </c>
      <c r="N18" s="186">
        <v>682.7</v>
      </c>
      <c r="O18" s="186">
        <v>466.7</v>
      </c>
      <c r="P18" s="186">
        <v>584</v>
      </c>
      <c r="Q18" s="186">
        <v>486.8</v>
      </c>
      <c r="R18" s="186">
        <v>977</v>
      </c>
      <c r="S18" s="186">
        <v>558.20000000000005</v>
      </c>
      <c r="T18" s="186">
        <v>975.5</v>
      </c>
    </row>
    <row r="19" spans="2:20">
      <c r="B19" s="213">
        <v>0.5</v>
      </c>
      <c r="C19" s="214">
        <v>529</v>
      </c>
      <c r="D19" s="186">
        <v>530.4</v>
      </c>
      <c r="E19" s="186">
        <v>331.6</v>
      </c>
      <c r="F19" s="215">
        <v>487</v>
      </c>
      <c r="G19" s="186">
        <v>662</v>
      </c>
      <c r="H19" s="186">
        <v>778.1</v>
      </c>
      <c r="I19" s="186">
        <v>465</v>
      </c>
      <c r="J19" s="186">
        <v>972</v>
      </c>
      <c r="K19" s="186">
        <v>659</v>
      </c>
      <c r="L19" s="186">
        <v>531.6</v>
      </c>
      <c r="M19" s="186">
        <v>533</v>
      </c>
      <c r="N19" s="186">
        <v>681.7</v>
      </c>
      <c r="O19" s="186">
        <v>465.8</v>
      </c>
      <c r="P19" s="186">
        <v>583</v>
      </c>
      <c r="Q19" s="186">
        <v>485.7</v>
      </c>
      <c r="R19" s="186">
        <v>975</v>
      </c>
      <c r="S19" s="186">
        <v>557</v>
      </c>
      <c r="T19" s="186">
        <v>972.8</v>
      </c>
    </row>
    <row r="20" spans="2:20">
      <c r="B20" s="213">
        <v>0.6</v>
      </c>
      <c r="C20" s="214">
        <v>528</v>
      </c>
      <c r="D20" s="186">
        <v>529.4</v>
      </c>
      <c r="E20" s="186">
        <v>330.9</v>
      </c>
      <c r="F20" s="215">
        <v>486</v>
      </c>
      <c r="G20" s="186">
        <v>660.7</v>
      </c>
      <c r="H20" s="186">
        <v>776.7</v>
      </c>
      <c r="I20" s="186">
        <v>464</v>
      </c>
      <c r="J20" s="186">
        <v>970</v>
      </c>
      <c r="K20" s="186">
        <v>658</v>
      </c>
      <c r="L20" s="186">
        <v>530.5</v>
      </c>
      <c r="M20" s="186">
        <v>531.79999999999995</v>
      </c>
      <c r="N20" s="186">
        <v>680.5</v>
      </c>
      <c r="O20" s="186">
        <v>464.9</v>
      </c>
      <c r="P20" s="186">
        <v>582</v>
      </c>
      <c r="Q20" s="186">
        <v>485</v>
      </c>
      <c r="R20" s="186">
        <v>973</v>
      </c>
      <c r="S20" s="186">
        <v>556.20000000000005</v>
      </c>
      <c r="T20" s="186">
        <v>971.1</v>
      </c>
    </row>
    <row r="21" spans="2:20">
      <c r="B21" s="213">
        <v>0.8</v>
      </c>
      <c r="C21" s="214">
        <v>527</v>
      </c>
      <c r="D21" s="186">
        <v>528.4</v>
      </c>
      <c r="E21" s="186">
        <v>330.2</v>
      </c>
      <c r="F21" s="215">
        <v>485</v>
      </c>
      <c r="G21" s="186">
        <v>659.4</v>
      </c>
      <c r="H21" s="186">
        <v>775.4</v>
      </c>
      <c r="I21" s="186">
        <v>463</v>
      </c>
      <c r="J21" s="186">
        <v>968</v>
      </c>
      <c r="K21" s="186">
        <v>657</v>
      </c>
      <c r="L21" s="186">
        <v>529.5</v>
      </c>
      <c r="M21" s="186">
        <v>530.70000000000005</v>
      </c>
      <c r="N21" s="186">
        <v>679.1</v>
      </c>
      <c r="O21" s="186">
        <v>464</v>
      </c>
      <c r="P21" s="186">
        <v>581</v>
      </c>
      <c r="Q21" s="186">
        <v>484.3</v>
      </c>
      <c r="R21" s="186">
        <v>971</v>
      </c>
      <c r="S21" s="186">
        <v>555.4</v>
      </c>
      <c r="T21" s="186">
        <v>969.6</v>
      </c>
    </row>
    <row r="22" spans="2:20">
      <c r="B22" s="213">
        <v>1</v>
      </c>
      <c r="C22" s="214">
        <v>526</v>
      </c>
      <c r="D22" s="186">
        <v>527.29999999999995</v>
      </c>
      <c r="E22" s="186">
        <v>329.5</v>
      </c>
      <c r="F22" s="215">
        <v>484</v>
      </c>
      <c r="G22" s="186">
        <v>657.9</v>
      </c>
      <c r="H22" s="186">
        <v>774</v>
      </c>
      <c r="I22" s="186">
        <v>462</v>
      </c>
      <c r="J22" s="186">
        <v>966</v>
      </c>
      <c r="K22" s="186">
        <v>655.5</v>
      </c>
      <c r="L22" s="186">
        <v>528.4</v>
      </c>
      <c r="M22" s="186">
        <v>529.5</v>
      </c>
      <c r="N22" s="186">
        <v>677.5</v>
      </c>
      <c r="O22" s="186">
        <v>463</v>
      </c>
      <c r="P22" s="186">
        <v>580</v>
      </c>
      <c r="Q22" s="186">
        <v>483.3</v>
      </c>
      <c r="R22" s="186">
        <v>969</v>
      </c>
      <c r="S22" s="186">
        <v>553.70000000000005</v>
      </c>
      <c r="T22" s="186">
        <v>967.3</v>
      </c>
    </row>
    <row r="23" spans="2:20">
      <c r="B23" s="213">
        <v>1.2</v>
      </c>
      <c r="C23" s="214">
        <v>525</v>
      </c>
      <c r="D23" s="186">
        <v>526.20000000000005</v>
      </c>
      <c r="E23" s="186">
        <v>328.8</v>
      </c>
      <c r="F23" s="215">
        <v>483</v>
      </c>
      <c r="G23" s="186">
        <v>656.3</v>
      </c>
      <c r="H23" s="186">
        <v>772.1</v>
      </c>
      <c r="I23" s="186">
        <v>460.8</v>
      </c>
      <c r="J23" s="186">
        <v>964</v>
      </c>
      <c r="K23" s="186">
        <v>653.70000000000005</v>
      </c>
      <c r="L23" s="186">
        <v>526.9</v>
      </c>
      <c r="M23" s="186">
        <v>528</v>
      </c>
      <c r="N23" s="186">
        <v>675.8</v>
      </c>
      <c r="O23" s="186">
        <v>462</v>
      </c>
      <c r="P23" s="186">
        <v>578.5</v>
      </c>
      <c r="Q23" s="186">
        <v>482.3</v>
      </c>
      <c r="R23" s="186">
        <v>967</v>
      </c>
      <c r="S23" s="186">
        <v>552.4</v>
      </c>
      <c r="T23" s="186">
        <v>964.5</v>
      </c>
    </row>
    <row r="24" spans="2:20">
      <c r="B24" s="213">
        <v>1.4</v>
      </c>
      <c r="C24" s="214">
        <v>524</v>
      </c>
      <c r="D24" s="186">
        <v>525.1</v>
      </c>
      <c r="E24" s="186">
        <v>328.1</v>
      </c>
      <c r="F24" s="215">
        <v>482</v>
      </c>
      <c r="G24" s="186">
        <v>654.79999999999995</v>
      </c>
      <c r="H24" s="186">
        <v>770.4</v>
      </c>
      <c r="I24" s="186">
        <v>459.8</v>
      </c>
      <c r="J24" s="186">
        <v>962</v>
      </c>
      <c r="K24" s="186">
        <v>652.20000000000005</v>
      </c>
      <c r="L24" s="186">
        <v>526</v>
      </c>
      <c r="M24" s="186">
        <v>527</v>
      </c>
      <c r="N24" s="186">
        <v>674.3</v>
      </c>
      <c r="O24" s="186">
        <v>461</v>
      </c>
      <c r="P24" s="186">
        <v>577</v>
      </c>
      <c r="Q24" s="186">
        <v>481.4</v>
      </c>
      <c r="R24" s="186">
        <v>965</v>
      </c>
      <c r="S24" s="186">
        <v>551.20000000000005</v>
      </c>
      <c r="T24" s="186">
        <v>962</v>
      </c>
    </row>
    <row r="25" spans="2:20">
      <c r="B25" s="213">
        <v>1.6</v>
      </c>
      <c r="C25" s="214">
        <v>523</v>
      </c>
      <c r="D25" s="186">
        <v>524.20000000000005</v>
      </c>
      <c r="E25" s="186">
        <v>327.39999999999998</v>
      </c>
      <c r="F25" s="215">
        <v>481</v>
      </c>
      <c r="G25" s="186">
        <v>653.5</v>
      </c>
      <c r="H25" s="186">
        <v>768.9</v>
      </c>
      <c r="I25" s="186">
        <v>459.1</v>
      </c>
      <c r="J25" s="186">
        <v>960</v>
      </c>
      <c r="K25" s="186">
        <v>650.5</v>
      </c>
      <c r="L25" s="186">
        <v>525</v>
      </c>
      <c r="M25" s="186">
        <v>526.1</v>
      </c>
      <c r="N25" s="186">
        <v>673.2</v>
      </c>
      <c r="O25" s="186">
        <v>460</v>
      </c>
      <c r="P25" s="186">
        <v>575.5</v>
      </c>
      <c r="Q25" s="186">
        <v>480.4</v>
      </c>
      <c r="R25" s="186">
        <v>963</v>
      </c>
      <c r="S25" s="186">
        <v>550</v>
      </c>
      <c r="T25" s="186">
        <v>959.8</v>
      </c>
    </row>
    <row r="26" spans="2:20">
      <c r="B26" s="213">
        <v>1.8</v>
      </c>
      <c r="C26" s="214">
        <v>522</v>
      </c>
      <c r="D26" s="186">
        <v>523.4</v>
      </c>
      <c r="E26" s="186">
        <v>326.7</v>
      </c>
      <c r="F26" s="215">
        <v>480.2</v>
      </c>
      <c r="G26" s="186">
        <v>652</v>
      </c>
      <c r="H26" s="186">
        <v>767.5</v>
      </c>
      <c r="I26" s="186">
        <v>458.4</v>
      </c>
      <c r="J26" s="186">
        <v>958</v>
      </c>
      <c r="K26" s="186">
        <v>649.20000000000005</v>
      </c>
      <c r="L26" s="186">
        <v>523.9</v>
      </c>
      <c r="M26" s="186">
        <v>525.20000000000005</v>
      </c>
      <c r="N26" s="186">
        <v>672.2</v>
      </c>
      <c r="O26" s="186">
        <v>459</v>
      </c>
      <c r="P26" s="186">
        <v>574.1</v>
      </c>
      <c r="Q26" s="186">
        <v>479.5</v>
      </c>
      <c r="R26" s="186">
        <v>961</v>
      </c>
      <c r="S26" s="186">
        <v>548.9</v>
      </c>
      <c r="T26" s="186">
        <v>957.6</v>
      </c>
    </row>
    <row r="27" spans="2:20">
      <c r="B27" s="213">
        <v>2</v>
      </c>
      <c r="C27" s="214">
        <v>521</v>
      </c>
      <c r="D27" s="186">
        <v>522.6</v>
      </c>
      <c r="E27" s="186">
        <v>326.10000000000002</v>
      </c>
      <c r="F27" s="215">
        <v>479.4</v>
      </c>
      <c r="G27" s="186">
        <v>650.9</v>
      </c>
      <c r="H27" s="186">
        <v>766.2</v>
      </c>
      <c r="I27" s="186">
        <v>457.6</v>
      </c>
      <c r="J27" s="186">
        <v>956</v>
      </c>
      <c r="K27" s="186">
        <v>648</v>
      </c>
      <c r="L27" s="186">
        <v>522.9</v>
      </c>
      <c r="M27" s="186">
        <v>524.20000000000005</v>
      </c>
      <c r="N27" s="186">
        <v>671</v>
      </c>
      <c r="O27" s="186">
        <v>458</v>
      </c>
      <c r="P27" s="186">
        <v>573</v>
      </c>
      <c r="Q27" s="186">
        <v>478.9</v>
      </c>
      <c r="R27" s="186">
        <v>959</v>
      </c>
      <c r="S27" s="186">
        <v>547.79999999999995</v>
      </c>
      <c r="T27" s="186">
        <v>955.8</v>
      </c>
    </row>
    <row r="28" spans="2:20">
      <c r="B28" s="213">
        <v>2.2999999999999998</v>
      </c>
      <c r="C28" s="214">
        <v>520</v>
      </c>
      <c r="D28" s="186">
        <v>521.5</v>
      </c>
      <c r="E28" s="186">
        <v>325.5</v>
      </c>
      <c r="F28" s="215">
        <v>478.3</v>
      </c>
      <c r="G28" s="186">
        <v>649.4</v>
      </c>
      <c r="H28" s="186">
        <v>764.7</v>
      </c>
      <c r="I28" s="186">
        <v>456.5</v>
      </c>
      <c r="J28" s="186">
        <v>954</v>
      </c>
      <c r="K28" s="186">
        <v>647</v>
      </c>
      <c r="L28" s="186">
        <v>521.70000000000005</v>
      </c>
      <c r="M28" s="186">
        <v>523</v>
      </c>
      <c r="N28" s="186">
        <v>669.5</v>
      </c>
      <c r="O28" s="186">
        <v>457</v>
      </c>
      <c r="P28" s="186">
        <v>572</v>
      </c>
      <c r="Q28" s="186">
        <v>478</v>
      </c>
      <c r="R28" s="186">
        <v>957</v>
      </c>
      <c r="S28" s="186">
        <v>546.79999999999995</v>
      </c>
      <c r="T28" s="186">
        <v>954</v>
      </c>
    </row>
    <row r="29" spans="2:20">
      <c r="B29" s="213">
        <v>2.5</v>
      </c>
      <c r="C29" s="214">
        <v>519</v>
      </c>
      <c r="D29" s="186">
        <v>520.5</v>
      </c>
      <c r="E29" s="186">
        <v>324.8</v>
      </c>
      <c r="F29" s="215">
        <v>477.3</v>
      </c>
      <c r="G29" s="186">
        <v>648.29999999999995</v>
      </c>
      <c r="H29" s="186">
        <v>763.5</v>
      </c>
      <c r="I29" s="186">
        <v>455.6</v>
      </c>
      <c r="J29" s="186">
        <v>952</v>
      </c>
      <c r="K29" s="186">
        <v>646</v>
      </c>
      <c r="L29" s="186">
        <v>520.79999999999995</v>
      </c>
      <c r="M29" s="186">
        <v>522</v>
      </c>
      <c r="N29" s="186">
        <v>668.1</v>
      </c>
      <c r="O29" s="186">
        <v>456</v>
      </c>
      <c r="P29" s="186">
        <v>571</v>
      </c>
      <c r="Q29" s="186">
        <v>477.2</v>
      </c>
      <c r="R29" s="186">
        <v>955</v>
      </c>
      <c r="S29" s="186">
        <v>545.79999999999995</v>
      </c>
      <c r="T29" s="186">
        <v>952.2</v>
      </c>
    </row>
    <row r="30" spans="2:20">
      <c r="B30" s="213">
        <v>2.7</v>
      </c>
      <c r="C30" s="214">
        <v>518</v>
      </c>
      <c r="D30" s="186">
        <v>519.29999999999995</v>
      </c>
      <c r="E30" s="186">
        <v>324.10000000000002</v>
      </c>
      <c r="F30" s="215">
        <v>476.4</v>
      </c>
      <c r="G30" s="186">
        <v>647.29999999999995</v>
      </c>
      <c r="H30" s="186">
        <v>762</v>
      </c>
      <c r="I30" s="186">
        <v>454.6</v>
      </c>
      <c r="J30" s="186">
        <v>950</v>
      </c>
      <c r="K30" s="186">
        <v>645</v>
      </c>
      <c r="L30" s="186">
        <v>519.9</v>
      </c>
      <c r="M30" s="186">
        <v>521.20000000000005</v>
      </c>
      <c r="N30" s="186">
        <v>667</v>
      </c>
      <c r="O30" s="186">
        <v>455.1</v>
      </c>
      <c r="P30" s="186">
        <v>570</v>
      </c>
      <c r="Q30" s="186">
        <v>476.7</v>
      </c>
      <c r="R30" s="186">
        <v>953</v>
      </c>
      <c r="S30" s="186">
        <v>545</v>
      </c>
      <c r="T30" s="186">
        <v>950.6</v>
      </c>
    </row>
    <row r="31" spans="2:20">
      <c r="B31" s="213">
        <v>3</v>
      </c>
      <c r="C31" s="214">
        <v>517</v>
      </c>
      <c r="D31" s="186">
        <v>518.1</v>
      </c>
      <c r="E31" s="186">
        <v>323.5</v>
      </c>
      <c r="F31" s="215">
        <v>475.3</v>
      </c>
      <c r="G31" s="186">
        <v>645.79999999999995</v>
      </c>
      <c r="H31" s="186">
        <v>760.4</v>
      </c>
      <c r="I31" s="186">
        <v>453.6</v>
      </c>
      <c r="J31" s="186">
        <v>948</v>
      </c>
      <c r="K31" s="186">
        <v>643.5</v>
      </c>
      <c r="L31" s="186">
        <v>518.70000000000005</v>
      </c>
      <c r="M31" s="186">
        <v>519.70000000000005</v>
      </c>
      <c r="N31" s="186">
        <v>665.4</v>
      </c>
      <c r="O31" s="186">
        <v>454.2</v>
      </c>
      <c r="P31" s="186">
        <v>568.5</v>
      </c>
      <c r="Q31" s="186">
        <v>475.6</v>
      </c>
      <c r="R31" s="186">
        <v>951</v>
      </c>
      <c r="S31" s="186">
        <v>543.5</v>
      </c>
      <c r="T31" s="186">
        <v>948.4</v>
      </c>
    </row>
    <row r="32" spans="2:20">
      <c r="B32" s="213">
        <v>3.3</v>
      </c>
      <c r="C32" s="214">
        <v>516</v>
      </c>
      <c r="D32" s="186">
        <v>517.20000000000005</v>
      </c>
      <c r="E32" s="186">
        <v>322.89999999999998</v>
      </c>
      <c r="F32" s="215">
        <v>474.4</v>
      </c>
      <c r="G32" s="186">
        <v>644.29999999999995</v>
      </c>
      <c r="H32" s="186">
        <v>758.9</v>
      </c>
      <c r="I32" s="186">
        <v>452.7</v>
      </c>
      <c r="J32" s="186">
        <v>946</v>
      </c>
      <c r="K32" s="186">
        <v>642.20000000000005</v>
      </c>
      <c r="L32" s="186">
        <v>517.5</v>
      </c>
      <c r="M32" s="186">
        <v>518.70000000000005</v>
      </c>
      <c r="N32" s="186">
        <v>664.2</v>
      </c>
      <c r="O32" s="186">
        <v>453.6</v>
      </c>
      <c r="P32" s="186">
        <v>567</v>
      </c>
      <c r="Q32" s="186">
        <v>474.9</v>
      </c>
      <c r="R32" s="186">
        <v>949</v>
      </c>
      <c r="S32" s="186">
        <v>542.70000000000005</v>
      </c>
      <c r="T32" s="186">
        <v>946.9</v>
      </c>
    </row>
    <row r="33" spans="2:20">
      <c r="B33" s="213">
        <v>3.5</v>
      </c>
      <c r="C33" s="214">
        <v>515</v>
      </c>
      <c r="D33" s="186">
        <v>516.20000000000005</v>
      </c>
      <c r="E33" s="186">
        <v>322.10000000000002</v>
      </c>
      <c r="F33" s="215">
        <v>473.1</v>
      </c>
      <c r="G33" s="186">
        <v>643.20000000000005</v>
      </c>
      <c r="H33" s="186">
        <v>757.5</v>
      </c>
      <c r="I33" s="186">
        <v>452</v>
      </c>
      <c r="J33" s="186">
        <v>944</v>
      </c>
      <c r="K33" s="186">
        <v>640.79999999999995</v>
      </c>
      <c r="L33" s="186">
        <v>516.29999999999995</v>
      </c>
      <c r="M33" s="186">
        <v>517.70000000000005</v>
      </c>
      <c r="N33" s="186">
        <v>662.5</v>
      </c>
      <c r="O33" s="186">
        <v>452.7</v>
      </c>
      <c r="P33" s="186">
        <v>566</v>
      </c>
      <c r="Q33" s="186">
        <v>474</v>
      </c>
      <c r="R33" s="186">
        <v>947</v>
      </c>
      <c r="S33" s="186">
        <v>541.79999999999995</v>
      </c>
      <c r="T33" s="186">
        <v>944.8</v>
      </c>
    </row>
    <row r="34" spans="2:20">
      <c r="B34" s="213">
        <v>3.7</v>
      </c>
      <c r="C34" s="214">
        <v>514</v>
      </c>
      <c r="D34" s="186">
        <v>515</v>
      </c>
      <c r="E34" s="186">
        <v>321.39999999999998</v>
      </c>
      <c r="F34" s="215">
        <v>472.1</v>
      </c>
      <c r="G34" s="186">
        <v>641.6</v>
      </c>
      <c r="H34" s="186">
        <v>755.9</v>
      </c>
      <c r="I34" s="186">
        <v>451</v>
      </c>
      <c r="J34" s="186">
        <v>942</v>
      </c>
      <c r="K34" s="186">
        <v>639</v>
      </c>
      <c r="L34" s="186">
        <v>515.20000000000005</v>
      </c>
      <c r="M34" s="186">
        <v>516.20000000000005</v>
      </c>
      <c r="N34" s="186">
        <v>661.1</v>
      </c>
      <c r="O34" s="186">
        <v>451.8</v>
      </c>
      <c r="P34" s="186">
        <v>565</v>
      </c>
      <c r="Q34" s="186">
        <v>473.2</v>
      </c>
      <c r="R34" s="186">
        <v>945</v>
      </c>
      <c r="S34" s="186">
        <v>540.6</v>
      </c>
      <c r="T34" s="186">
        <v>942.7</v>
      </c>
    </row>
    <row r="35" spans="2:20">
      <c r="B35" s="213">
        <v>4</v>
      </c>
      <c r="C35" s="214">
        <v>513</v>
      </c>
      <c r="D35" s="186">
        <v>514</v>
      </c>
      <c r="E35" s="186">
        <v>320.89999999999998</v>
      </c>
      <c r="F35" s="215">
        <v>471.4</v>
      </c>
      <c r="G35" s="186">
        <v>640.20000000000005</v>
      </c>
      <c r="H35" s="186">
        <v>754.5</v>
      </c>
      <c r="I35" s="186">
        <v>450</v>
      </c>
      <c r="J35" s="186">
        <v>940</v>
      </c>
      <c r="K35" s="186">
        <v>637.79999999999995</v>
      </c>
      <c r="L35" s="186">
        <v>514.1</v>
      </c>
      <c r="M35" s="186">
        <v>515.4</v>
      </c>
      <c r="N35" s="186">
        <v>660</v>
      </c>
      <c r="O35" s="186">
        <v>450.9</v>
      </c>
      <c r="P35" s="186">
        <v>564</v>
      </c>
      <c r="Q35" s="186">
        <v>472.1</v>
      </c>
      <c r="R35" s="186">
        <v>943</v>
      </c>
      <c r="S35" s="186">
        <v>539.4</v>
      </c>
      <c r="T35" s="186">
        <v>940.3</v>
      </c>
    </row>
    <row r="36" spans="2:20">
      <c r="B36" s="213">
        <v>4.3</v>
      </c>
      <c r="C36" s="214">
        <v>512</v>
      </c>
      <c r="D36" s="186">
        <v>513.1</v>
      </c>
      <c r="E36" s="186">
        <v>320.3</v>
      </c>
      <c r="F36" s="215">
        <v>470.7</v>
      </c>
      <c r="G36" s="186">
        <v>638.9</v>
      </c>
      <c r="H36" s="186">
        <v>753</v>
      </c>
      <c r="I36" s="186">
        <v>449.2</v>
      </c>
      <c r="J36" s="186">
        <v>938</v>
      </c>
      <c r="K36" s="186">
        <v>636.79999999999995</v>
      </c>
      <c r="L36" s="186">
        <v>513.20000000000005</v>
      </c>
      <c r="M36" s="186">
        <v>514.5</v>
      </c>
      <c r="N36" s="186">
        <v>658.5</v>
      </c>
      <c r="O36" s="186">
        <v>449.8</v>
      </c>
      <c r="P36" s="186">
        <v>563</v>
      </c>
      <c r="Q36" s="186">
        <v>471.4</v>
      </c>
      <c r="R36" s="186">
        <v>941</v>
      </c>
      <c r="S36" s="186">
        <v>538.4</v>
      </c>
      <c r="T36" s="186">
        <v>938.5</v>
      </c>
    </row>
    <row r="37" spans="2:20">
      <c r="B37" s="213">
        <v>4.7</v>
      </c>
      <c r="C37" s="214">
        <v>511</v>
      </c>
      <c r="D37" s="186">
        <v>512</v>
      </c>
      <c r="E37" s="186">
        <v>319.5</v>
      </c>
      <c r="F37" s="215">
        <v>469.4</v>
      </c>
      <c r="G37" s="186">
        <v>637.4</v>
      </c>
      <c r="H37" s="186">
        <v>751.3</v>
      </c>
      <c r="I37" s="186">
        <v>448.1</v>
      </c>
      <c r="J37" s="186">
        <v>936</v>
      </c>
      <c r="K37" s="186">
        <v>635.29999999999995</v>
      </c>
      <c r="L37" s="186">
        <v>512.20000000000005</v>
      </c>
      <c r="M37" s="186">
        <v>513.5</v>
      </c>
      <c r="N37" s="186">
        <v>657.1</v>
      </c>
      <c r="O37" s="186">
        <v>448.8</v>
      </c>
      <c r="P37" s="186">
        <v>562</v>
      </c>
      <c r="Q37" s="186">
        <v>470.4</v>
      </c>
      <c r="R37" s="186">
        <v>939</v>
      </c>
      <c r="S37" s="186">
        <v>537.20000000000005</v>
      </c>
      <c r="T37" s="186">
        <v>936.4</v>
      </c>
    </row>
    <row r="38" spans="2:20">
      <c r="B38" s="213">
        <v>5</v>
      </c>
      <c r="C38" s="214">
        <v>510</v>
      </c>
      <c r="D38" s="186">
        <v>511</v>
      </c>
      <c r="E38" s="186">
        <v>318.89999999999998</v>
      </c>
      <c r="F38" s="215">
        <v>468.6</v>
      </c>
      <c r="G38" s="186">
        <v>636.20000000000005</v>
      </c>
      <c r="H38" s="186">
        <v>749.9</v>
      </c>
      <c r="I38" s="186">
        <v>447.2</v>
      </c>
      <c r="J38" s="186">
        <v>934</v>
      </c>
      <c r="K38" s="186">
        <v>634</v>
      </c>
      <c r="L38" s="186">
        <v>511.1</v>
      </c>
      <c r="M38" s="186">
        <v>512.5</v>
      </c>
      <c r="N38" s="186">
        <v>656</v>
      </c>
      <c r="O38" s="186">
        <v>447.8</v>
      </c>
      <c r="P38" s="186">
        <v>561</v>
      </c>
      <c r="Q38" s="186">
        <v>469.8</v>
      </c>
      <c r="R38" s="186">
        <v>937</v>
      </c>
      <c r="S38" s="186">
        <v>536.4</v>
      </c>
      <c r="T38" s="186">
        <v>935.1</v>
      </c>
    </row>
    <row r="39" spans="2:20">
      <c r="B39" s="213">
        <v>5.3</v>
      </c>
      <c r="C39" s="214">
        <v>509</v>
      </c>
      <c r="D39" s="186">
        <v>509.9</v>
      </c>
      <c r="E39" s="186">
        <v>318.3</v>
      </c>
      <c r="F39" s="215">
        <v>467.7</v>
      </c>
      <c r="G39" s="186">
        <v>635</v>
      </c>
      <c r="H39" s="186">
        <v>748.6</v>
      </c>
      <c r="I39" s="186">
        <v>446.4</v>
      </c>
      <c r="J39" s="186">
        <v>932</v>
      </c>
      <c r="K39" s="186">
        <v>632.79999999999995</v>
      </c>
      <c r="L39" s="186">
        <v>510.1</v>
      </c>
      <c r="M39" s="186">
        <v>511.4</v>
      </c>
      <c r="N39" s="186">
        <v>654.6</v>
      </c>
      <c r="O39" s="186">
        <v>446.7</v>
      </c>
      <c r="P39" s="186">
        <v>560</v>
      </c>
      <c r="Q39" s="186">
        <v>468.9</v>
      </c>
      <c r="R39" s="186">
        <v>935</v>
      </c>
      <c r="S39" s="186">
        <v>535.20000000000005</v>
      </c>
      <c r="T39" s="186">
        <v>933.1</v>
      </c>
    </row>
    <row r="40" spans="2:20">
      <c r="B40" s="213">
        <v>5.7</v>
      </c>
      <c r="C40" s="214">
        <v>508</v>
      </c>
      <c r="D40" s="186">
        <v>508.7</v>
      </c>
      <c r="E40" s="186">
        <v>317.5</v>
      </c>
      <c r="F40" s="215">
        <v>466.5</v>
      </c>
      <c r="G40" s="186">
        <v>633.6</v>
      </c>
      <c r="H40" s="186">
        <v>746.9</v>
      </c>
      <c r="I40" s="186">
        <v>445.3</v>
      </c>
      <c r="J40" s="186">
        <v>930</v>
      </c>
      <c r="K40" s="186">
        <v>631.29999999999995</v>
      </c>
      <c r="L40" s="186">
        <v>508.8</v>
      </c>
      <c r="M40" s="186">
        <v>510.1</v>
      </c>
      <c r="N40" s="186">
        <v>653</v>
      </c>
      <c r="O40" s="186">
        <v>445.6</v>
      </c>
      <c r="P40" s="186">
        <v>558.5</v>
      </c>
      <c r="Q40" s="186">
        <v>468</v>
      </c>
      <c r="R40" s="186">
        <v>933</v>
      </c>
      <c r="S40" s="186">
        <v>534</v>
      </c>
      <c r="T40" s="186">
        <v>931</v>
      </c>
    </row>
    <row r="41" spans="2:20">
      <c r="B41" s="213">
        <v>6</v>
      </c>
      <c r="C41" s="214">
        <v>507</v>
      </c>
      <c r="D41" s="186">
        <v>507.7</v>
      </c>
      <c r="E41" s="186">
        <v>316.89999999999998</v>
      </c>
      <c r="F41" s="215">
        <v>465.6</v>
      </c>
      <c r="G41" s="186">
        <v>632.29999999999995</v>
      </c>
      <c r="H41" s="186">
        <v>745.4</v>
      </c>
      <c r="I41" s="186">
        <v>444.5</v>
      </c>
      <c r="J41" s="186">
        <v>928.5</v>
      </c>
      <c r="K41" s="186">
        <v>630.1</v>
      </c>
      <c r="L41" s="186">
        <v>507.8</v>
      </c>
      <c r="M41" s="186">
        <v>508.9</v>
      </c>
      <c r="N41" s="186">
        <v>651.79999999999995</v>
      </c>
      <c r="O41" s="186">
        <v>444.6</v>
      </c>
      <c r="P41" s="186">
        <v>557.5</v>
      </c>
      <c r="Q41" s="186">
        <v>467.3</v>
      </c>
      <c r="R41" s="186">
        <v>931</v>
      </c>
      <c r="S41" s="186">
        <v>533.1</v>
      </c>
      <c r="T41" s="186">
        <v>929.1</v>
      </c>
    </row>
    <row r="42" spans="2:20">
      <c r="B42" s="213">
        <v>6.3</v>
      </c>
      <c r="C42" s="214">
        <v>506</v>
      </c>
      <c r="D42" s="186">
        <v>506.8</v>
      </c>
      <c r="E42" s="186">
        <v>316.3</v>
      </c>
      <c r="F42" s="215">
        <v>464.8</v>
      </c>
      <c r="G42" s="186">
        <v>630.9</v>
      </c>
      <c r="H42" s="186">
        <v>743.9</v>
      </c>
      <c r="I42" s="186">
        <v>443.4</v>
      </c>
      <c r="J42" s="186">
        <v>926.5</v>
      </c>
      <c r="K42" s="186">
        <v>629</v>
      </c>
      <c r="L42" s="186">
        <v>506.5</v>
      </c>
      <c r="M42" s="186">
        <v>507.7</v>
      </c>
      <c r="N42" s="186">
        <v>650.79999999999995</v>
      </c>
      <c r="O42" s="186">
        <v>443.6</v>
      </c>
      <c r="P42" s="186">
        <v>556.5</v>
      </c>
      <c r="Q42" s="186">
        <v>466.4</v>
      </c>
      <c r="R42" s="186">
        <v>929</v>
      </c>
      <c r="S42" s="186">
        <v>531.9</v>
      </c>
      <c r="T42" s="186">
        <v>927</v>
      </c>
    </row>
    <row r="43" spans="2:20">
      <c r="B43" s="213">
        <v>6.7</v>
      </c>
      <c r="C43" s="214">
        <v>505</v>
      </c>
      <c r="D43" s="186">
        <v>505.9</v>
      </c>
      <c r="E43" s="186">
        <v>315.5</v>
      </c>
      <c r="F43" s="215">
        <v>463.5</v>
      </c>
      <c r="G43" s="186">
        <v>629.5</v>
      </c>
      <c r="H43" s="186">
        <v>742.5</v>
      </c>
      <c r="I43" s="186">
        <v>442.3</v>
      </c>
      <c r="J43" s="186">
        <v>924.5</v>
      </c>
      <c r="K43" s="186">
        <v>627.4</v>
      </c>
      <c r="L43" s="186">
        <v>505.3</v>
      </c>
      <c r="M43" s="186">
        <v>506.5</v>
      </c>
      <c r="N43" s="186">
        <v>648.79999999999995</v>
      </c>
      <c r="O43" s="186">
        <v>442.6</v>
      </c>
      <c r="P43" s="186">
        <v>555.20000000000005</v>
      </c>
      <c r="Q43" s="186">
        <v>465.4</v>
      </c>
      <c r="R43" s="186">
        <v>927</v>
      </c>
      <c r="S43" s="186">
        <v>530.6</v>
      </c>
      <c r="T43" s="186">
        <v>924.7</v>
      </c>
    </row>
    <row r="44" spans="2:20">
      <c r="B44" s="213">
        <v>7</v>
      </c>
      <c r="C44" s="214">
        <v>504</v>
      </c>
      <c r="D44" s="186">
        <v>505</v>
      </c>
      <c r="E44" s="186">
        <v>314.89999999999998</v>
      </c>
      <c r="F44" s="215">
        <v>462.7</v>
      </c>
      <c r="G44" s="186">
        <v>628.20000000000005</v>
      </c>
      <c r="H44" s="186">
        <v>741.1</v>
      </c>
      <c r="I44" s="186">
        <v>441.6</v>
      </c>
      <c r="J44" s="186">
        <v>922.5</v>
      </c>
      <c r="K44" s="186">
        <v>626.29999999999995</v>
      </c>
      <c r="L44" s="186">
        <v>504.3</v>
      </c>
      <c r="M44" s="186">
        <v>505.5</v>
      </c>
      <c r="N44" s="186">
        <v>647.70000000000005</v>
      </c>
      <c r="O44" s="186">
        <v>441.8</v>
      </c>
      <c r="P44" s="186">
        <v>554.20000000000005</v>
      </c>
      <c r="Q44" s="186">
        <v>464.8</v>
      </c>
      <c r="R44" s="186">
        <v>925</v>
      </c>
      <c r="S44" s="186">
        <v>529.79999999999995</v>
      </c>
      <c r="T44" s="186">
        <v>923.1</v>
      </c>
    </row>
    <row r="45" spans="2:20">
      <c r="B45" s="213">
        <v>7.3</v>
      </c>
      <c r="C45" s="214">
        <v>503</v>
      </c>
      <c r="D45" s="186">
        <v>504</v>
      </c>
      <c r="E45" s="186">
        <v>314.3</v>
      </c>
      <c r="F45" s="215">
        <v>461.7</v>
      </c>
      <c r="G45" s="186">
        <v>626.79999999999995</v>
      </c>
      <c r="H45" s="186">
        <v>739.9</v>
      </c>
      <c r="I45" s="186">
        <v>440.7</v>
      </c>
      <c r="J45" s="186">
        <v>920.5</v>
      </c>
      <c r="K45" s="186">
        <v>624.9</v>
      </c>
      <c r="L45" s="186">
        <v>503.4</v>
      </c>
      <c r="M45" s="186">
        <v>504.5</v>
      </c>
      <c r="N45" s="186">
        <v>646.5</v>
      </c>
      <c r="O45" s="186">
        <v>440.8</v>
      </c>
      <c r="P45" s="186">
        <v>553.1</v>
      </c>
      <c r="Q45" s="186">
        <v>464</v>
      </c>
      <c r="R45" s="186">
        <v>923</v>
      </c>
      <c r="S45" s="186">
        <v>528.70000000000005</v>
      </c>
      <c r="T45" s="186">
        <v>921</v>
      </c>
    </row>
    <row r="46" spans="2:20">
      <c r="B46" s="213">
        <v>7.7</v>
      </c>
      <c r="C46" s="214">
        <v>502</v>
      </c>
      <c r="D46" s="186">
        <v>503.1</v>
      </c>
      <c r="E46" s="186">
        <v>313.8</v>
      </c>
      <c r="F46" s="215">
        <v>461.1</v>
      </c>
      <c r="G46" s="186">
        <v>625.70000000000005</v>
      </c>
      <c r="H46" s="186">
        <v>738.5</v>
      </c>
      <c r="I46" s="186">
        <v>440</v>
      </c>
      <c r="J46" s="186">
        <v>919</v>
      </c>
      <c r="K46" s="186">
        <v>623.70000000000005</v>
      </c>
      <c r="L46" s="186">
        <v>502.5</v>
      </c>
      <c r="M46" s="186">
        <v>503.8</v>
      </c>
      <c r="N46" s="186">
        <v>645.6</v>
      </c>
      <c r="O46" s="186">
        <v>440.1</v>
      </c>
      <c r="P46" s="186">
        <v>551.79999999999995</v>
      </c>
      <c r="Q46" s="186">
        <v>463.3</v>
      </c>
      <c r="R46" s="186">
        <v>921</v>
      </c>
      <c r="S46" s="186">
        <v>527.79999999999995</v>
      </c>
      <c r="T46" s="186">
        <v>919.6</v>
      </c>
    </row>
    <row r="47" spans="2:20">
      <c r="B47" s="213">
        <v>8</v>
      </c>
      <c r="C47" s="214">
        <v>501</v>
      </c>
      <c r="D47" s="186">
        <v>502</v>
      </c>
      <c r="E47" s="186">
        <v>313.10000000000002</v>
      </c>
      <c r="F47" s="215">
        <v>460</v>
      </c>
      <c r="G47" s="186">
        <v>624.5</v>
      </c>
      <c r="H47" s="186">
        <v>736.9</v>
      </c>
      <c r="I47" s="186">
        <v>439</v>
      </c>
      <c r="J47" s="186">
        <v>917.5</v>
      </c>
      <c r="K47" s="186">
        <v>622.4</v>
      </c>
      <c r="L47" s="186">
        <v>501.7</v>
      </c>
      <c r="M47" s="186">
        <v>502.8</v>
      </c>
      <c r="N47" s="186">
        <v>644.1</v>
      </c>
      <c r="O47" s="186">
        <v>439.3</v>
      </c>
      <c r="P47" s="186">
        <v>550.9</v>
      </c>
      <c r="Q47" s="186">
        <v>462.5</v>
      </c>
      <c r="R47" s="186">
        <v>919.1</v>
      </c>
      <c r="S47" s="186">
        <v>526.70000000000005</v>
      </c>
      <c r="T47" s="186">
        <v>917.1</v>
      </c>
    </row>
    <row r="48" spans="2:20">
      <c r="B48" s="213">
        <v>8.3000000000000007</v>
      </c>
      <c r="C48" s="214">
        <v>500</v>
      </c>
      <c r="D48" s="186">
        <v>501</v>
      </c>
      <c r="E48" s="186">
        <v>312.60000000000002</v>
      </c>
      <c r="F48" s="215">
        <v>459.3</v>
      </c>
      <c r="G48" s="186">
        <v>623.5</v>
      </c>
      <c r="H48" s="186">
        <v>735.6</v>
      </c>
      <c r="I48" s="186">
        <v>438.1</v>
      </c>
      <c r="J48" s="186">
        <v>915.5</v>
      </c>
      <c r="K48" s="186">
        <v>621.29999999999995</v>
      </c>
      <c r="L48" s="186">
        <v>500.3</v>
      </c>
      <c r="M48" s="186">
        <v>501.6</v>
      </c>
      <c r="N48" s="186">
        <v>642.79999999999995</v>
      </c>
      <c r="O48" s="186">
        <v>438.4</v>
      </c>
      <c r="P48" s="186">
        <v>549.6</v>
      </c>
      <c r="Q48" s="186">
        <v>461.7</v>
      </c>
      <c r="R48" s="186">
        <v>917.2</v>
      </c>
      <c r="S48" s="186">
        <v>525.70000000000005</v>
      </c>
      <c r="T48" s="186">
        <v>915.1</v>
      </c>
    </row>
    <row r="49" spans="2:20">
      <c r="B49" s="213">
        <v>8.6999999999999993</v>
      </c>
      <c r="C49" s="214">
        <v>499</v>
      </c>
      <c r="D49" s="186">
        <v>499.8</v>
      </c>
      <c r="E49" s="186">
        <v>311.8</v>
      </c>
      <c r="F49" s="215">
        <v>458.1</v>
      </c>
      <c r="G49" s="186">
        <v>621.70000000000005</v>
      </c>
      <c r="H49" s="186">
        <v>734.1</v>
      </c>
      <c r="I49" s="186">
        <v>437.2</v>
      </c>
      <c r="J49" s="186">
        <v>913.5</v>
      </c>
      <c r="K49" s="186">
        <v>619.9</v>
      </c>
      <c r="L49" s="186">
        <v>499.4</v>
      </c>
      <c r="M49" s="186">
        <v>500.5</v>
      </c>
      <c r="N49" s="186">
        <v>641.20000000000005</v>
      </c>
      <c r="O49" s="186">
        <v>437.5</v>
      </c>
      <c r="P49" s="186">
        <v>548.4</v>
      </c>
      <c r="Q49" s="186">
        <v>460.7</v>
      </c>
      <c r="R49" s="186">
        <v>915.3</v>
      </c>
      <c r="S49" s="186">
        <v>524.6</v>
      </c>
      <c r="T49" s="186">
        <v>912.7</v>
      </c>
    </row>
    <row r="50" spans="2:20">
      <c r="B50" s="213">
        <v>9</v>
      </c>
      <c r="C50" s="214">
        <v>498</v>
      </c>
      <c r="D50" s="186">
        <v>498.8</v>
      </c>
      <c r="E50" s="186">
        <v>311.3</v>
      </c>
      <c r="F50" s="215">
        <v>457.3</v>
      </c>
      <c r="G50" s="186">
        <v>620.5</v>
      </c>
      <c r="H50" s="186">
        <v>732.9</v>
      </c>
      <c r="I50" s="186">
        <v>436.5</v>
      </c>
      <c r="J50" s="186">
        <v>911.5</v>
      </c>
      <c r="K50" s="186">
        <v>618.5</v>
      </c>
      <c r="L50" s="186">
        <v>498.4</v>
      </c>
      <c r="M50" s="186">
        <v>499.6</v>
      </c>
      <c r="N50" s="186">
        <v>640.29999999999995</v>
      </c>
      <c r="O50" s="186">
        <v>436.6</v>
      </c>
      <c r="P50" s="186">
        <v>547.4</v>
      </c>
      <c r="Q50" s="186">
        <v>460</v>
      </c>
      <c r="R50" s="186">
        <v>913.4</v>
      </c>
      <c r="S50" s="186">
        <v>523.79999999999995</v>
      </c>
      <c r="T50" s="186">
        <v>911.1</v>
      </c>
    </row>
    <row r="51" spans="2:20">
      <c r="B51" s="213">
        <v>9.3000000000000007</v>
      </c>
      <c r="C51" s="214">
        <v>497</v>
      </c>
      <c r="D51" s="186">
        <v>498</v>
      </c>
      <c r="E51" s="186">
        <v>310.8</v>
      </c>
      <c r="F51" s="215">
        <v>456.7</v>
      </c>
      <c r="G51" s="186">
        <v>619.70000000000005</v>
      </c>
      <c r="H51" s="186">
        <v>731.5</v>
      </c>
      <c r="I51" s="186">
        <v>436</v>
      </c>
      <c r="J51" s="186">
        <v>910</v>
      </c>
      <c r="K51" s="186">
        <v>617.5</v>
      </c>
      <c r="L51" s="186">
        <v>497.7</v>
      </c>
      <c r="M51" s="186">
        <v>498.7</v>
      </c>
      <c r="N51" s="186">
        <v>639.6</v>
      </c>
      <c r="O51" s="186">
        <v>435.8</v>
      </c>
      <c r="P51" s="186">
        <v>546.5</v>
      </c>
      <c r="Q51" s="186">
        <v>459.4</v>
      </c>
      <c r="R51" s="186">
        <v>911.7</v>
      </c>
      <c r="S51" s="186">
        <v>523</v>
      </c>
      <c r="T51" s="186">
        <v>910.1</v>
      </c>
    </row>
    <row r="52" spans="2:20">
      <c r="B52" s="213">
        <v>9.6999999999999993</v>
      </c>
      <c r="C52" s="214">
        <v>496</v>
      </c>
      <c r="D52" s="186">
        <v>497.2</v>
      </c>
      <c r="E52" s="186">
        <v>310.10000000000002</v>
      </c>
      <c r="F52" s="215">
        <v>456</v>
      </c>
      <c r="G52" s="186">
        <v>618.5</v>
      </c>
      <c r="H52" s="186">
        <v>730</v>
      </c>
      <c r="I52" s="186">
        <v>435</v>
      </c>
      <c r="J52" s="186">
        <v>908.5</v>
      </c>
      <c r="K52" s="186">
        <v>616.5</v>
      </c>
      <c r="L52" s="186">
        <v>497</v>
      </c>
      <c r="M52" s="186">
        <v>497.9</v>
      </c>
      <c r="N52" s="186">
        <v>638.5</v>
      </c>
      <c r="O52" s="186">
        <v>435.1</v>
      </c>
      <c r="P52" s="186">
        <v>545.6</v>
      </c>
      <c r="Q52" s="186">
        <v>458.7</v>
      </c>
      <c r="R52" s="186">
        <v>910</v>
      </c>
      <c r="S52" s="186">
        <v>522</v>
      </c>
      <c r="T52" s="186">
        <v>908.2</v>
      </c>
    </row>
    <row r="53" spans="2:20">
      <c r="B53" s="213">
        <v>10</v>
      </c>
      <c r="C53" s="214">
        <v>495</v>
      </c>
      <c r="D53" s="186">
        <v>496.1</v>
      </c>
      <c r="E53" s="186">
        <v>309.39999999999998</v>
      </c>
      <c r="F53" s="215">
        <v>454.6</v>
      </c>
      <c r="G53" s="186">
        <v>617</v>
      </c>
      <c r="H53" s="186">
        <v>728.3</v>
      </c>
      <c r="I53" s="186">
        <v>433.9</v>
      </c>
      <c r="J53" s="186">
        <v>906.5</v>
      </c>
      <c r="K53" s="186">
        <v>615.1</v>
      </c>
      <c r="L53" s="186">
        <v>495.6</v>
      </c>
      <c r="M53" s="186">
        <v>496.7</v>
      </c>
      <c r="N53" s="186">
        <v>636.29999999999995</v>
      </c>
      <c r="O53" s="186">
        <v>434.1</v>
      </c>
      <c r="P53" s="186">
        <v>544.20000000000005</v>
      </c>
      <c r="Q53" s="186">
        <v>457.8</v>
      </c>
      <c r="R53" s="186">
        <v>908</v>
      </c>
      <c r="S53" s="186">
        <v>520.9</v>
      </c>
      <c r="T53" s="186">
        <v>906.1</v>
      </c>
    </row>
    <row r="54" spans="2:20">
      <c r="B54" s="213">
        <v>10.3</v>
      </c>
      <c r="C54" s="214">
        <v>494</v>
      </c>
      <c r="D54" s="186">
        <v>495.1</v>
      </c>
      <c r="E54" s="186">
        <v>308.7</v>
      </c>
      <c r="F54" s="215">
        <v>453.6</v>
      </c>
      <c r="G54" s="186">
        <v>615.6</v>
      </c>
      <c r="H54" s="186">
        <v>726.8</v>
      </c>
      <c r="I54" s="186">
        <v>432.8</v>
      </c>
      <c r="J54" s="186">
        <v>904.5</v>
      </c>
      <c r="K54" s="186">
        <v>613.70000000000005</v>
      </c>
      <c r="L54" s="186">
        <v>494.3</v>
      </c>
      <c r="M54" s="186">
        <v>495.4</v>
      </c>
      <c r="N54" s="186">
        <v>635.1</v>
      </c>
      <c r="O54" s="186">
        <v>433.2</v>
      </c>
      <c r="P54" s="186">
        <v>543</v>
      </c>
      <c r="Q54" s="186">
        <v>456.9</v>
      </c>
      <c r="R54" s="186">
        <v>906.3</v>
      </c>
      <c r="S54" s="186">
        <v>519.6</v>
      </c>
      <c r="T54" s="186">
        <v>904</v>
      </c>
    </row>
    <row r="55" spans="2:20">
      <c r="B55" s="213">
        <v>10.7</v>
      </c>
      <c r="C55" s="214">
        <v>493</v>
      </c>
      <c r="D55" s="186">
        <v>494</v>
      </c>
      <c r="E55" s="186">
        <v>308.10000000000002</v>
      </c>
      <c r="F55" s="215">
        <v>452.8</v>
      </c>
      <c r="G55" s="186">
        <v>614.4</v>
      </c>
      <c r="H55" s="186">
        <v>725.1</v>
      </c>
      <c r="I55" s="186">
        <v>432.1</v>
      </c>
      <c r="J55" s="186">
        <v>902.5</v>
      </c>
      <c r="K55" s="186">
        <v>612.6</v>
      </c>
      <c r="L55" s="186">
        <v>493.5</v>
      </c>
      <c r="M55" s="186">
        <v>494.4</v>
      </c>
      <c r="N55" s="186">
        <v>633.79999999999995</v>
      </c>
      <c r="O55" s="186">
        <v>432.4</v>
      </c>
      <c r="P55" s="186">
        <v>542</v>
      </c>
      <c r="Q55" s="186">
        <v>456.2</v>
      </c>
      <c r="R55" s="186">
        <v>904.5</v>
      </c>
      <c r="S55" s="186">
        <v>518.70000000000005</v>
      </c>
      <c r="T55" s="186">
        <v>902.4</v>
      </c>
    </row>
    <row r="56" spans="2:20">
      <c r="B56" s="213">
        <v>11</v>
      </c>
      <c r="C56" s="214">
        <v>492</v>
      </c>
      <c r="D56" s="186">
        <v>493</v>
      </c>
      <c r="E56" s="186">
        <v>307.5</v>
      </c>
      <c r="F56" s="215">
        <v>451.8</v>
      </c>
      <c r="G56" s="186">
        <v>613.4</v>
      </c>
      <c r="H56" s="186">
        <v>723.9</v>
      </c>
      <c r="I56" s="186">
        <v>431.1</v>
      </c>
      <c r="J56" s="186">
        <v>900.5</v>
      </c>
      <c r="K56" s="186">
        <v>611.5</v>
      </c>
      <c r="L56" s="186">
        <v>492.6</v>
      </c>
      <c r="M56" s="186">
        <v>493.7</v>
      </c>
      <c r="N56" s="186">
        <v>632.70000000000005</v>
      </c>
      <c r="O56" s="186">
        <v>431.4</v>
      </c>
      <c r="P56" s="186">
        <v>541</v>
      </c>
      <c r="Q56" s="186">
        <v>455.5</v>
      </c>
      <c r="R56" s="186">
        <v>902.9</v>
      </c>
      <c r="S56" s="186">
        <v>517.9</v>
      </c>
      <c r="T56" s="186">
        <v>901.2</v>
      </c>
    </row>
    <row r="57" spans="2:20">
      <c r="B57" s="213">
        <v>11.3</v>
      </c>
      <c r="C57" s="214">
        <v>491</v>
      </c>
      <c r="D57" s="186">
        <v>492</v>
      </c>
      <c r="E57" s="186">
        <v>306.8</v>
      </c>
      <c r="F57" s="215">
        <v>451.1</v>
      </c>
      <c r="G57" s="186">
        <v>612.29999999999995</v>
      </c>
      <c r="H57" s="186">
        <v>722.5</v>
      </c>
      <c r="I57" s="186">
        <v>430.3</v>
      </c>
      <c r="J57" s="186">
        <v>899</v>
      </c>
      <c r="K57" s="186">
        <v>610.6</v>
      </c>
      <c r="L57" s="186">
        <v>491.6</v>
      </c>
      <c r="M57" s="186">
        <v>492.5</v>
      </c>
      <c r="N57" s="186">
        <v>631.6</v>
      </c>
      <c r="O57" s="186">
        <v>430.5</v>
      </c>
      <c r="P57" s="186">
        <v>540.1</v>
      </c>
      <c r="Q57" s="186">
        <v>454.9</v>
      </c>
      <c r="R57" s="186">
        <v>901</v>
      </c>
      <c r="S57" s="186">
        <v>517.1</v>
      </c>
      <c r="T57" s="186">
        <v>899.7</v>
      </c>
    </row>
    <row r="58" spans="2:20">
      <c r="B58" s="213">
        <v>11.7</v>
      </c>
      <c r="C58" s="214">
        <v>490</v>
      </c>
      <c r="D58" s="186">
        <v>490.8</v>
      </c>
      <c r="E58" s="186">
        <v>306.2</v>
      </c>
      <c r="F58" s="215">
        <v>449.8</v>
      </c>
      <c r="G58" s="186">
        <v>610.70000000000005</v>
      </c>
      <c r="H58" s="186">
        <v>720.7</v>
      </c>
      <c r="I58" s="186">
        <v>429.3</v>
      </c>
      <c r="J58" s="186">
        <v>897</v>
      </c>
      <c r="K58" s="186">
        <v>608.70000000000005</v>
      </c>
      <c r="L58" s="186">
        <v>490.3</v>
      </c>
      <c r="M58" s="186">
        <v>491.4</v>
      </c>
      <c r="N58" s="186">
        <v>629.70000000000005</v>
      </c>
      <c r="O58" s="186">
        <v>429.4</v>
      </c>
      <c r="P58" s="186">
        <v>538.6</v>
      </c>
      <c r="Q58" s="186">
        <v>454</v>
      </c>
      <c r="R58" s="186">
        <v>899</v>
      </c>
      <c r="S58" s="186">
        <v>515.79999999999995</v>
      </c>
      <c r="T58" s="186">
        <v>897.3</v>
      </c>
    </row>
    <row r="59" spans="2:20">
      <c r="B59" s="213">
        <v>12</v>
      </c>
      <c r="C59" s="214">
        <v>489</v>
      </c>
      <c r="D59" s="186">
        <v>489.7</v>
      </c>
      <c r="E59" s="186">
        <v>305.60000000000002</v>
      </c>
      <c r="F59" s="215">
        <v>449</v>
      </c>
      <c r="G59" s="186">
        <v>609.4</v>
      </c>
      <c r="H59" s="186">
        <v>719.5</v>
      </c>
      <c r="I59" s="186">
        <v>428.5</v>
      </c>
      <c r="J59" s="186">
        <v>895</v>
      </c>
      <c r="K59" s="186">
        <v>607.6</v>
      </c>
      <c r="L59" s="186">
        <v>489.5</v>
      </c>
      <c r="M59" s="186">
        <v>490.6</v>
      </c>
      <c r="N59" s="186">
        <v>628.70000000000005</v>
      </c>
      <c r="O59" s="186">
        <v>428.7</v>
      </c>
      <c r="P59" s="186">
        <v>537.4</v>
      </c>
      <c r="Q59" s="186">
        <v>453.2</v>
      </c>
      <c r="R59" s="186">
        <v>897.1</v>
      </c>
      <c r="S59" s="186">
        <v>515</v>
      </c>
      <c r="T59" s="186">
        <v>895.8</v>
      </c>
    </row>
    <row r="60" spans="2:20">
      <c r="B60" s="213">
        <v>12.3</v>
      </c>
      <c r="C60" s="214">
        <v>488</v>
      </c>
      <c r="D60" s="186">
        <v>488.8</v>
      </c>
      <c r="E60" s="186">
        <v>305.10000000000002</v>
      </c>
      <c r="F60" s="215">
        <v>448.2</v>
      </c>
      <c r="G60" s="186">
        <v>608.6</v>
      </c>
      <c r="H60" s="186">
        <v>718.1</v>
      </c>
      <c r="I60" s="186">
        <v>427.8</v>
      </c>
      <c r="J60" s="186">
        <v>893.5</v>
      </c>
      <c r="K60" s="186">
        <v>606.6</v>
      </c>
      <c r="L60" s="186">
        <v>488.8</v>
      </c>
      <c r="M60" s="186">
        <v>489.7</v>
      </c>
      <c r="N60" s="186">
        <v>627.4</v>
      </c>
      <c r="O60" s="186">
        <v>427.9</v>
      </c>
      <c r="P60" s="186">
        <v>536.29999999999995</v>
      </c>
      <c r="Q60" s="186">
        <v>452.3</v>
      </c>
      <c r="R60" s="186">
        <v>895.5</v>
      </c>
      <c r="S60" s="186">
        <v>514.20000000000005</v>
      </c>
      <c r="T60" s="186">
        <v>894.5</v>
      </c>
    </row>
    <row r="61" spans="2:20">
      <c r="B61" s="213">
        <v>12.7</v>
      </c>
      <c r="C61" s="214">
        <v>487</v>
      </c>
      <c r="D61" s="186">
        <v>488</v>
      </c>
      <c r="E61" s="186">
        <v>304.5</v>
      </c>
      <c r="F61" s="215">
        <v>447.4</v>
      </c>
      <c r="G61" s="186">
        <v>607.1</v>
      </c>
      <c r="H61" s="186">
        <v>716.9</v>
      </c>
      <c r="I61" s="186">
        <v>426.9</v>
      </c>
      <c r="J61" s="186">
        <v>892</v>
      </c>
      <c r="K61" s="186">
        <v>605.79999999999995</v>
      </c>
      <c r="L61" s="186">
        <v>487.6</v>
      </c>
      <c r="M61" s="186">
        <v>488.6</v>
      </c>
      <c r="N61" s="186">
        <v>626.29999999999995</v>
      </c>
      <c r="O61" s="186">
        <v>427</v>
      </c>
      <c r="P61" s="186">
        <v>535.5</v>
      </c>
      <c r="Q61" s="186">
        <v>451.7</v>
      </c>
      <c r="R61" s="186">
        <v>893.6</v>
      </c>
      <c r="S61" s="186">
        <v>513.20000000000005</v>
      </c>
      <c r="T61" s="186">
        <v>893.1</v>
      </c>
    </row>
    <row r="62" spans="2:20">
      <c r="B62" s="213">
        <v>13</v>
      </c>
      <c r="C62" s="214">
        <v>486</v>
      </c>
      <c r="D62" s="186">
        <v>487</v>
      </c>
      <c r="E62" s="186">
        <v>303.89999999999998</v>
      </c>
      <c r="F62" s="215">
        <v>446.6</v>
      </c>
      <c r="G62" s="186">
        <v>606.1</v>
      </c>
      <c r="H62" s="186">
        <v>715.4</v>
      </c>
      <c r="I62" s="186">
        <v>426.1</v>
      </c>
      <c r="J62" s="186">
        <v>890</v>
      </c>
      <c r="K62" s="186">
        <v>604.6</v>
      </c>
      <c r="L62" s="186">
        <v>486.6</v>
      </c>
      <c r="M62" s="186">
        <v>487.6</v>
      </c>
      <c r="N62" s="186">
        <v>625</v>
      </c>
      <c r="O62" s="186">
        <v>426.3</v>
      </c>
      <c r="P62" s="186">
        <v>534.6</v>
      </c>
      <c r="Q62" s="186">
        <v>451</v>
      </c>
      <c r="R62" s="186">
        <v>892</v>
      </c>
      <c r="S62" s="186">
        <v>512.4</v>
      </c>
      <c r="T62" s="186">
        <v>891.8</v>
      </c>
    </row>
    <row r="63" spans="2:20">
      <c r="B63" s="213">
        <v>13.3</v>
      </c>
      <c r="C63" s="214">
        <v>485</v>
      </c>
      <c r="D63" s="186">
        <v>486.2</v>
      </c>
      <c r="E63" s="186">
        <v>303.2</v>
      </c>
      <c r="F63" s="215">
        <v>445.7</v>
      </c>
      <c r="G63" s="186">
        <v>605.20000000000005</v>
      </c>
      <c r="H63" s="186">
        <v>713.8</v>
      </c>
      <c r="I63" s="186">
        <v>425.3</v>
      </c>
      <c r="J63" s="186">
        <v>888</v>
      </c>
      <c r="K63" s="186">
        <v>603.4</v>
      </c>
      <c r="L63" s="186">
        <v>485.7</v>
      </c>
      <c r="M63" s="186">
        <v>486.7</v>
      </c>
      <c r="N63" s="186">
        <v>624</v>
      </c>
      <c r="O63" s="186">
        <v>425.4</v>
      </c>
      <c r="P63" s="186">
        <v>533.79999999999995</v>
      </c>
      <c r="Q63" s="186">
        <v>450.4</v>
      </c>
      <c r="R63" s="186">
        <v>890.2</v>
      </c>
      <c r="S63" s="186">
        <v>511.3</v>
      </c>
      <c r="T63" s="186">
        <v>890.2</v>
      </c>
    </row>
    <row r="64" spans="2:20">
      <c r="B64" s="213">
        <v>13.7</v>
      </c>
      <c r="C64" s="214">
        <v>484</v>
      </c>
      <c r="D64" s="186">
        <v>485</v>
      </c>
      <c r="E64" s="186">
        <v>302.5</v>
      </c>
      <c r="F64" s="215">
        <v>444.5</v>
      </c>
      <c r="G64" s="186">
        <v>603.79999999999995</v>
      </c>
      <c r="H64" s="186">
        <v>712.5</v>
      </c>
      <c r="I64" s="186">
        <v>424</v>
      </c>
      <c r="J64" s="186">
        <v>886</v>
      </c>
      <c r="K64" s="186">
        <v>602.4</v>
      </c>
      <c r="L64" s="186">
        <v>484.4</v>
      </c>
      <c r="M64" s="186">
        <v>485.4</v>
      </c>
      <c r="N64" s="186">
        <v>622.5</v>
      </c>
      <c r="O64" s="186">
        <v>424.3</v>
      </c>
      <c r="P64" s="186">
        <v>532.5</v>
      </c>
      <c r="Q64" s="186">
        <v>449.7</v>
      </c>
      <c r="R64" s="186">
        <v>888.2</v>
      </c>
      <c r="S64" s="186">
        <v>510.4</v>
      </c>
      <c r="T64" s="186">
        <v>887.9</v>
      </c>
    </row>
    <row r="65" spans="2:20">
      <c r="B65" s="213">
        <v>14</v>
      </c>
      <c r="C65" s="214">
        <v>483</v>
      </c>
      <c r="D65" s="186">
        <v>484</v>
      </c>
      <c r="E65" s="186">
        <v>301.89999999999998</v>
      </c>
      <c r="F65" s="215">
        <v>443.6</v>
      </c>
      <c r="G65" s="186">
        <v>602.70000000000005</v>
      </c>
      <c r="H65" s="186">
        <v>711.1</v>
      </c>
      <c r="I65" s="186">
        <v>423.3</v>
      </c>
      <c r="J65" s="186">
        <v>884</v>
      </c>
      <c r="K65" s="186">
        <v>601.20000000000005</v>
      </c>
      <c r="L65" s="186">
        <v>483.7</v>
      </c>
      <c r="M65" s="186">
        <v>484.5</v>
      </c>
      <c r="N65" s="186">
        <v>621.1</v>
      </c>
      <c r="O65" s="186">
        <v>423.4</v>
      </c>
      <c r="P65" s="186">
        <v>531.70000000000005</v>
      </c>
      <c r="Q65" s="186">
        <v>449.1</v>
      </c>
      <c r="R65" s="186">
        <v>886.3</v>
      </c>
      <c r="S65" s="186">
        <v>509.4</v>
      </c>
      <c r="T65" s="186">
        <v>885.9</v>
      </c>
    </row>
    <row r="66" spans="2:20">
      <c r="B66" s="213">
        <v>14.3</v>
      </c>
      <c r="C66" s="214">
        <v>482</v>
      </c>
      <c r="D66" s="186">
        <v>482.8</v>
      </c>
      <c r="E66" s="186">
        <v>301.10000000000002</v>
      </c>
      <c r="F66" s="215">
        <v>442.5</v>
      </c>
      <c r="G66" s="186">
        <v>601.1</v>
      </c>
      <c r="H66" s="186">
        <v>709.7</v>
      </c>
      <c r="I66" s="186">
        <v>422</v>
      </c>
      <c r="J66" s="186">
        <v>882</v>
      </c>
      <c r="K66" s="186">
        <v>599.6</v>
      </c>
      <c r="L66" s="186">
        <v>482.2</v>
      </c>
      <c r="M66" s="186">
        <v>483</v>
      </c>
      <c r="N66" s="186">
        <v>619.5</v>
      </c>
      <c r="O66" s="186">
        <v>422.4</v>
      </c>
      <c r="P66" s="186">
        <v>530.5</v>
      </c>
      <c r="Q66" s="186">
        <v>447.9</v>
      </c>
      <c r="R66" s="186">
        <v>884.1</v>
      </c>
      <c r="S66" s="186">
        <v>508.2</v>
      </c>
      <c r="T66" s="186">
        <v>883.1</v>
      </c>
    </row>
    <row r="67" spans="2:20">
      <c r="B67" s="213">
        <v>14.7</v>
      </c>
      <c r="C67" s="214">
        <v>481</v>
      </c>
      <c r="D67" s="186">
        <v>481.8</v>
      </c>
      <c r="E67" s="186">
        <v>300.5</v>
      </c>
      <c r="F67" s="215">
        <v>441.5</v>
      </c>
      <c r="G67" s="186">
        <v>599.4</v>
      </c>
      <c r="H67" s="186">
        <v>708.7</v>
      </c>
      <c r="I67" s="186">
        <v>421</v>
      </c>
      <c r="J67" s="186">
        <v>880</v>
      </c>
      <c r="K67" s="186">
        <v>598.1</v>
      </c>
      <c r="L67" s="186">
        <v>480.9</v>
      </c>
      <c r="M67" s="186">
        <v>481.9</v>
      </c>
      <c r="N67" s="186">
        <v>618.20000000000005</v>
      </c>
      <c r="O67" s="186">
        <v>421.4</v>
      </c>
      <c r="P67" s="186">
        <v>529.29999999999995</v>
      </c>
      <c r="Q67" s="186">
        <v>447.2</v>
      </c>
      <c r="R67" s="186">
        <v>882</v>
      </c>
      <c r="S67" s="186">
        <v>506.9</v>
      </c>
      <c r="T67" s="186">
        <v>881.3</v>
      </c>
    </row>
    <row r="68" spans="2:20">
      <c r="B68" s="213">
        <v>15</v>
      </c>
      <c r="C68" s="214">
        <v>480</v>
      </c>
      <c r="D68" s="186">
        <v>480.9</v>
      </c>
      <c r="E68" s="186">
        <v>299.7</v>
      </c>
      <c r="F68" s="215">
        <v>440.4</v>
      </c>
      <c r="G68" s="186">
        <v>597.70000000000005</v>
      </c>
      <c r="H68" s="186">
        <v>707.2</v>
      </c>
      <c r="I68" s="186">
        <v>420.1</v>
      </c>
      <c r="J68" s="186">
        <v>878</v>
      </c>
      <c r="K68" s="186">
        <v>596.79999999999995</v>
      </c>
      <c r="L68" s="186">
        <v>479.7</v>
      </c>
      <c r="M68" s="186">
        <v>480.4</v>
      </c>
      <c r="N68" s="186">
        <v>616.79999999999995</v>
      </c>
      <c r="O68" s="186">
        <v>420.3</v>
      </c>
      <c r="P68" s="186">
        <v>527.9</v>
      </c>
      <c r="Q68" s="186">
        <v>446.2</v>
      </c>
      <c r="R68" s="186">
        <v>880</v>
      </c>
      <c r="S68" s="186">
        <v>505.6</v>
      </c>
      <c r="T68" s="186">
        <v>878.9</v>
      </c>
    </row>
    <row r="69" spans="2:20">
      <c r="B69" s="213">
        <v>15.3</v>
      </c>
      <c r="C69" s="214">
        <v>479</v>
      </c>
      <c r="D69" s="186">
        <v>479.4</v>
      </c>
      <c r="E69" s="186">
        <v>299.2</v>
      </c>
      <c r="F69" s="215">
        <v>439.7</v>
      </c>
      <c r="G69" s="186">
        <v>596.20000000000005</v>
      </c>
      <c r="H69" s="186">
        <v>705.3</v>
      </c>
      <c r="I69" s="186">
        <v>419.1</v>
      </c>
      <c r="J69" s="186">
        <v>876.5</v>
      </c>
      <c r="K69" s="186">
        <v>595.4</v>
      </c>
      <c r="L69" s="186">
        <v>478.5</v>
      </c>
      <c r="M69" s="186">
        <v>479.2</v>
      </c>
      <c r="N69" s="186">
        <v>615.9</v>
      </c>
      <c r="O69" s="186">
        <v>419.4</v>
      </c>
      <c r="P69" s="186">
        <v>526.5</v>
      </c>
      <c r="Q69" s="186">
        <v>445.2</v>
      </c>
      <c r="R69" s="186">
        <v>878</v>
      </c>
      <c r="S69" s="186">
        <v>504.2</v>
      </c>
      <c r="T69" s="186">
        <v>876.9</v>
      </c>
    </row>
    <row r="70" spans="2:20">
      <c r="B70" s="213">
        <v>15.7</v>
      </c>
      <c r="C70" s="214">
        <v>478</v>
      </c>
      <c r="D70" s="186">
        <v>478.6</v>
      </c>
      <c r="E70" s="186">
        <v>298.60000000000002</v>
      </c>
      <c r="F70" s="215">
        <v>438.8</v>
      </c>
      <c r="G70" s="186">
        <v>595.20000000000005</v>
      </c>
      <c r="H70" s="186">
        <v>703.9</v>
      </c>
      <c r="I70" s="186">
        <v>418.4</v>
      </c>
      <c r="J70" s="186">
        <v>874.5</v>
      </c>
      <c r="K70" s="186">
        <v>594</v>
      </c>
      <c r="L70" s="186">
        <v>477.6</v>
      </c>
      <c r="M70" s="186">
        <v>478.1</v>
      </c>
      <c r="N70" s="186">
        <v>614.4</v>
      </c>
      <c r="O70" s="186">
        <v>418.6</v>
      </c>
      <c r="P70" s="186">
        <v>525.5</v>
      </c>
      <c r="Q70" s="186">
        <v>444.2</v>
      </c>
      <c r="R70" s="186">
        <v>876.2</v>
      </c>
      <c r="S70" s="186">
        <v>503.3</v>
      </c>
      <c r="T70" s="186">
        <v>874.6</v>
      </c>
    </row>
    <row r="71" spans="2:20">
      <c r="B71" s="213">
        <v>16</v>
      </c>
      <c r="C71" s="214">
        <v>477</v>
      </c>
      <c r="D71" s="186">
        <v>477.7</v>
      </c>
      <c r="E71" s="186">
        <v>298</v>
      </c>
      <c r="F71" s="215">
        <v>438</v>
      </c>
      <c r="G71" s="186">
        <v>593.9</v>
      </c>
      <c r="H71" s="186">
        <v>702.7</v>
      </c>
      <c r="I71" s="186">
        <v>417.6</v>
      </c>
      <c r="J71" s="186">
        <v>873</v>
      </c>
      <c r="K71" s="186">
        <v>593.1</v>
      </c>
      <c r="L71" s="186">
        <v>476.7</v>
      </c>
      <c r="M71" s="186">
        <v>477.4</v>
      </c>
      <c r="N71" s="186">
        <v>613.4</v>
      </c>
      <c r="O71" s="186">
        <v>417.6</v>
      </c>
      <c r="P71" s="186">
        <v>524.70000000000005</v>
      </c>
      <c r="Q71" s="186">
        <v>443.7</v>
      </c>
      <c r="R71" s="186">
        <v>874.3</v>
      </c>
      <c r="S71" s="186">
        <v>502.5</v>
      </c>
      <c r="T71" s="186">
        <v>873.5</v>
      </c>
    </row>
    <row r="72" spans="2:20">
      <c r="B72" s="213">
        <v>16.3</v>
      </c>
      <c r="C72" s="214">
        <v>476</v>
      </c>
      <c r="D72" s="186">
        <v>476.6</v>
      </c>
      <c r="E72" s="186">
        <v>297.3</v>
      </c>
      <c r="F72" s="215">
        <v>436.7</v>
      </c>
      <c r="G72" s="186">
        <v>592.1</v>
      </c>
      <c r="H72" s="186">
        <v>700.9</v>
      </c>
      <c r="I72" s="186">
        <v>416.6</v>
      </c>
      <c r="J72" s="186">
        <v>871</v>
      </c>
      <c r="K72" s="186">
        <v>591.5</v>
      </c>
      <c r="L72" s="186">
        <v>475.2</v>
      </c>
      <c r="M72" s="186">
        <v>476.2</v>
      </c>
      <c r="N72" s="186">
        <v>611.5</v>
      </c>
      <c r="O72" s="186">
        <v>416.7</v>
      </c>
      <c r="P72" s="186">
        <v>523.5</v>
      </c>
      <c r="Q72" s="186">
        <v>442.8</v>
      </c>
      <c r="R72" s="186">
        <v>872.2</v>
      </c>
      <c r="S72" s="186">
        <v>500.9</v>
      </c>
      <c r="T72" s="186">
        <v>871.3</v>
      </c>
    </row>
    <row r="73" spans="2:20">
      <c r="B73" s="213">
        <v>16.7</v>
      </c>
      <c r="C73" s="214">
        <v>475</v>
      </c>
      <c r="D73" s="186">
        <v>475.5</v>
      </c>
      <c r="E73" s="186">
        <v>296.60000000000002</v>
      </c>
      <c r="F73" s="215">
        <v>435.8</v>
      </c>
      <c r="G73" s="186">
        <v>590.9</v>
      </c>
      <c r="H73" s="186">
        <v>699.7</v>
      </c>
      <c r="I73" s="186">
        <v>415.7</v>
      </c>
      <c r="J73" s="186">
        <v>869</v>
      </c>
      <c r="K73" s="186">
        <v>590.29999999999995</v>
      </c>
      <c r="L73" s="186">
        <v>474.4</v>
      </c>
      <c r="M73" s="186">
        <v>475.3</v>
      </c>
      <c r="N73" s="186">
        <v>610.20000000000005</v>
      </c>
      <c r="O73" s="186">
        <v>415.7</v>
      </c>
      <c r="P73" s="186">
        <v>522.5</v>
      </c>
      <c r="Q73" s="186">
        <v>441.9</v>
      </c>
      <c r="R73" s="186">
        <v>870</v>
      </c>
      <c r="S73" s="186">
        <v>500.1</v>
      </c>
      <c r="T73" s="186">
        <v>869.4</v>
      </c>
    </row>
    <row r="74" spans="2:20">
      <c r="B74" s="213">
        <v>17</v>
      </c>
      <c r="C74" s="214">
        <v>474</v>
      </c>
      <c r="D74" s="186">
        <v>474.1</v>
      </c>
      <c r="E74" s="186">
        <v>295.89999999999998</v>
      </c>
      <c r="F74" s="215">
        <v>434.7</v>
      </c>
      <c r="G74" s="186">
        <v>589.79999999999995</v>
      </c>
      <c r="H74" s="186">
        <v>698.4</v>
      </c>
      <c r="I74" s="186">
        <v>414.7</v>
      </c>
      <c r="J74" s="186">
        <v>867</v>
      </c>
      <c r="K74" s="186">
        <v>588.9</v>
      </c>
      <c r="L74" s="186">
        <v>473.1</v>
      </c>
      <c r="M74" s="186">
        <v>474.1</v>
      </c>
      <c r="N74" s="186">
        <v>608.5</v>
      </c>
      <c r="O74" s="186">
        <v>414.6</v>
      </c>
      <c r="P74" s="186">
        <v>521.4</v>
      </c>
      <c r="Q74" s="186">
        <v>441.1</v>
      </c>
      <c r="R74" s="186">
        <v>868</v>
      </c>
      <c r="S74" s="186">
        <v>499.1</v>
      </c>
      <c r="T74" s="186">
        <v>867.7</v>
      </c>
    </row>
    <row r="75" spans="2:20">
      <c r="B75" s="213">
        <v>17.3</v>
      </c>
      <c r="C75" s="214">
        <v>473</v>
      </c>
      <c r="D75" s="186">
        <v>473</v>
      </c>
      <c r="E75" s="186">
        <v>295.2</v>
      </c>
      <c r="F75" s="215">
        <v>433.5</v>
      </c>
      <c r="G75" s="186">
        <v>588.1</v>
      </c>
      <c r="H75" s="186">
        <v>696.4</v>
      </c>
      <c r="I75" s="186">
        <v>413.5</v>
      </c>
      <c r="J75" s="186">
        <v>865</v>
      </c>
      <c r="K75" s="186">
        <v>587.6</v>
      </c>
      <c r="L75" s="186">
        <v>472</v>
      </c>
      <c r="M75" s="186">
        <v>472.9</v>
      </c>
      <c r="N75" s="186">
        <v>606.9</v>
      </c>
      <c r="O75" s="186">
        <v>413.4</v>
      </c>
      <c r="P75" s="186">
        <v>519.9</v>
      </c>
      <c r="Q75" s="186">
        <v>440.1</v>
      </c>
      <c r="R75" s="186">
        <v>866</v>
      </c>
      <c r="S75" s="186">
        <v>498</v>
      </c>
      <c r="T75" s="186">
        <v>865.5</v>
      </c>
    </row>
    <row r="76" spans="2:20">
      <c r="B76" s="213">
        <v>17.7</v>
      </c>
      <c r="C76" s="214">
        <v>472</v>
      </c>
      <c r="D76" s="186">
        <v>472.2</v>
      </c>
      <c r="E76" s="186">
        <v>294.5</v>
      </c>
      <c r="F76" s="215">
        <v>432.7</v>
      </c>
      <c r="G76" s="186">
        <v>587.20000000000005</v>
      </c>
      <c r="H76" s="186">
        <v>695</v>
      </c>
      <c r="I76" s="186">
        <v>412.9</v>
      </c>
      <c r="J76" s="186">
        <v>863</v>
      </c>
      <c r="K76" s="186">
        <v>586.4</v>
      </c>
      <c r="L76" s="186">
        <v>471</v>
      </c>
      <c r="M76" s="186">
        <v>471.9</v>
      </c>
      <c r="N76" s="186">
        <v>606</v>
      </c>
      <c r="O76" s="186">
        <v>412.7</v>
      </c>
      <c r="P76" s="186">
        <v>518.9</v>
      </c>
      <c r="Q76" s="186">
        <v>439.3</v>
      </c>
      <c r="R76" s="186">
        <v>863.9</v>
      </c>
      <c r="S76" s="186">
        <v>497</v>
      </c>
      <c r="T76" s="186">
        <v>864.1</v>
      </c>
    </row>
    <row r="77" spans="2:20">
      <c r="B77" s="213">
        <v>18</v>
      </c>
      <c r="C77" s="214">
        <v>471</v>
      </c>
      <c r="D77" s="186">
        <v>471</v>
      </c>
      <c r="E77" s="186">
        <v>293.8</v>
      </c>
      <c r="F77" s="215">
        <v>431.7</v>
      </c>
      <c r="G77" s="186">
        <v>585.6</v>
      </c>
      <c r="H77" s="186">
        <v>693.5</v>
      </c>
      <c r="I77" s="186">
        <v>411.9</v>
      </c>
      <c r="J77" s="186">
        <v>861</v>
      </c>
      <c r="K77" s="186">
        <v>584.6</v>
      </c>
      <c r="L77" s="186">
        <v>470</v>
      </c>
      <c r="M77" s="186">
        <v>470.4</v>
      </c>
      <c r="N77" s="186">
        <v>604.6</v>
      </c>
      <c r="O77" s="186">
        <v>411.6</v>
      </c>
      <c r="P77" s="186">
        <v>517.79999999999995</v>
      </c>
      <c r="Q77" s="186">
        <v>438.3</v>
      </c>
      <c r="R77" s="186">
        <v>862</v>
      </c>
      <c r="S77" s="186">
        <v>495.9</v>
      </c>
      <c r="T77" s="186">
        <v>861.7</v>
      </c>
    </row>
    <row r="78" spans="2:20">
      <c r="B78" s="213">
        <v>18.5</v>
      </c>
      <c r="C78" s="214">
        <v>470</v>
      </c>
      <c r="D78" s="186">
        <v>470.2</v>
      </c>
      <c r="E78" s="186">
        <v>293.2</v>
      </c>
      <c r="F78" s="215">
        <v>430.7</v>
      </c>
      <c r="G78" s="186">
        <v>584.5</v>
      </c>
      <c r="H78" s="186">
        <v>692.2</v>
      </c>
      <c r="I78" s="186">
        <v>411</v>
      </c>
      <c r="J78" s="186">
        <v>859</v>
      </c>
      <c r="K78" s="186">
        <v>583.9</v>
      </c>
      <c r="L78" s="186">
        <v>468.8</v>
      </c>
      <c r="M78" s="186">
        <v>469.6</v>
      </c>
      <c r="N78" s="186">
        <v>603</v>
      </c>
      <c r="O78" s="186">
        <v>410.9</v>
      </c>
      <c r="P78" s="186">
        <v>516.9</v>
      </c>
      <c r="Q78" s="186">
        <v>437.8</v>
      </c>
      <c r="R78" s="186">
        <v>860.1</v>
      </c>
      <c r="S78" s="186">
        <v>495</v>
      </c>
      <c r="T78" s="186">
        <v>860.1</v>
      </c>
    </row>
    <row r="79" spans="2:20">
      <c r="B79" s="213">
        <v>19</v>
      </c>
      <c r="C79" s="214">
        <v>469</v>
      </c>
      <c r="D79" s="186">
        <v>469.1</v>
      </c>
      <c r="E79" s="186">
        <v>292.60000000000002</v>
      </c>
      <c r="F79" s="215">
        <v>429.6</v>
      </c>
      <c r="G79" s="186">
        <v>583.4</v>
      </c>
      <c r="H79" s="186">
        <v>690.1</v>
      </c>
      <c r="I79" s="186">
        <v>410</v>
      </c>
      <c r="J79" s="186">
        <v>857</v>
      </c>
      <c r="K79" s="186">
        <v>582.79999999999995</v>
      </c>
      <c r="L79" s="186">
        <v>468.1</v>
      </c>
      <c r="M79" s="186">
        <v>468.8</v>
      </c>
      <c r="N79" s="186">
        <v>602.1</v>
      </c>
      <c r="O79" s="186">
        <v>410</v>
      </c>
      <c r="P79" s="186">
        <v>515.79999999999995</v>
      </c>
      <c r="Q79" s="186">
        <v>437</v>
      </c>
      <c r="R79" s="186">
        <v>858.4</v>
      </c>
      <c r="S79" s="186">
        <v>494.2</v>
      </c>
      <c r="T79" s="186">
        <v>858.6</v>
      </c>
    </row>
    <row r="80" spans="2:20">
      <c r="B80" s="213">
        <v>19.5</v>
      </c>
      <c r="C80" s="214">
        <v>468</v>
      </c>
      <c r="D80" s="186">
        <v>468.3</v>
      </c>
      <c r="E80" s="186">
        <v>292</v>
      </c>
      <c r="F80" s="215">
        <v>429</v>
      </c>
      <c r="G80" s="186">
        <v>582.4</v>
      </c>
      <c r="H80" s="186">
        <v>689.2</v>
      </c>
      <c r="I80" s="186">
        <v>409.1</v>
      </c>
      <c r="J80" s="186">
        <v>855</v>
      </c>
      <c r="K80" s="186">
        <v>581.9</v>
      </c>
      <c r="L80" s="186">
        <v>467.2</v>
      </c>
      <c r="M80" s="186">
        <v>468.1</v>
      </c>
      <c r="N80" s="186">
        <v>601</v>
      </c>
      <c r="O80" s="186">
        <v>409.3</v>
      </c>
      <c r="P80" s="186">
        <v>514.70000000000005</v>
      </c>
      <c r="Q80" s="186">
        <v>436.4</v>
      </c>
      <c r="R80" s="186">
        <v>856.8</v>
      </c>
      <c r="S80" s="186">
        <v>493.3</v>
      </c>
      <c r="T80" s="186">
        <v>857.5</v>
      </c>
    </row>
    <row r="81" spans="2:20">
      <c r="B81" s="213">
        <v>20</v>
      </c>
      <c r="C81" s="214">
        <v>467</v>
      </c>
      <c r="D81" s="186">
        <v>467.2</v>
      </c>
      <c r="E81" s="186">
        <v>291.3</v>
      </c>
      <c r="F81" s="215">
        <v>428.3</v>
      </c>
      <c r="G81" s="186">
        <v>581.6</v>
      </c>
      <c r="H81" s="186">
        <v>688.4</v>
      </c>
      <c r="I81" s="186">
        <v>408.4</v>
      </c>
      <c r="J81" s="186">
        <v>853.5</v>
      </c>
      <c r="K81" s="186">
        <v>580.9</v>
      </c>
      <c r="L81" s="186">
        <v>466.4</v>
      </c>
      <c r="M81" s="186">
        <v>467.1</v>
      </c>
      <c r="N81" s="186">
        <v>599.9</v>
      </c>
      <c r="O81" s="186">
        <v>408.3</v>
      </c>
      <c r="P81" s="186">
        <v>514.20000000000005</v>
      </c>
      <c r="Q81" s="186">
        <v>435.9</v>
      </c>
      <c r="R81" s="186">
        <v>854.9</v>
      </c>
      <c r="S81" s="186">
        <v>492.5</v>
      </c>
      <c r="T81" s="186">
        <v>855.8</v>
      </c>
    </row>
    <row r="82" spans="2:20">
      <c r="B82" s="213">
        <v>20.5</v>
      </c>
      <c r="C82" s="214">
        <v>466</v>
      </c>
      <c r="D82" s="186">
        <v>466</v>
      </c>
      <c r="E82" s="186">
        <v>290.7</v>
      </c>
      <c r="F82" s="215">
        <v>427.2</v>
      </c>
      <c r="G82" s="186">
        <v>580</v>
      </c>
      <c r="H82" s="186">
        <v>686.5</v>
      </c>
      <c r="I82" s="186">
        <v>407.4</v>
      </c>
      <c r="J82" s="186">
        <v>851.5</v>
      </c>
      <c r="K82" s="186">
        <v>579.29999999999995</v>
      </c>
      <c r="L82" s="186">
        <v>464.9</v>
      </c>
      <c r="M82" s="186">
        <v>465.5</v>
      </c>
      <c r="N82" s="186">
        <v>598.20000000000005</v>
      </c>
      <c r="O82" s="186">
        <v>407.4</v>
      </c>
      <c r="P82" s="186">
        <v>512.9</v>
      </c>
      <c r="Q82" s="186">
        <v>435.1</v>
      </c>
      <c r="R82" s="186">
        <v>853</v>
      </c>
      <c r="S82" s="186">
        <v>491.4</v>
      </c>
      <c r="T82" s="186">
        <v>853.3</v>
      </c>
    </row>
    <row r="83" spans="2:20">
      <c r="B83" s="213">
        <v>21</v>
      </c>
      <c r="C83" s="214">
        <v>465</v>
      </c>
      <c r="D83" s="186">
        <v>464.9</v>
      </c>
      <c r="E83" s="186">
        <v>290</v>
      </c>
      <c r="F83" s="215">
        <v>426.1</v>
      </c>
      <c r="G83" s="186">
        <v>578.5</v>
      </c>
      <c r="H83" s="186">
        <v>684.9</v>
      </c>
      <c r="I83" s="186">
        <v>406.5</v>
      </c>
      <c r="J83" s="186">
        <v>849.5</v>
      </c>
      <c r="K83" s="186">
        <v>578.4</v>
      </c>
      <c r="L83" s="186">
        <v>463.8</v>
      </c>
      <c r="M83" s="186">
        <v>464.3</v>
      </c>
      <c r="N83" s="186">
        <v>596.9</v>
      </c>
      <c r="O83" s="186">
        <v>406.5</v>
      </c>
      <c r="P83" s="186">
        <v>511.9</v>
      </c>
      <c r="Q83" s="186">
        <v>434.3</v>
      </c>
      <c r="R83" s="186">
        <v>851</v>
      </c>
      <c r="S83" s="186">
        <v>490.3</v>
      </c>
      <c r="T83" s="186">
        <v>851.5</v>
      </c>
    </row>
    <row r="84" spans="2:20">
      <c r="B84" s="213">
        <v>21.3</v>
      </c>
      <c r="C84" s="214">
        <v>464</v>
      </c>
      <c r="D84" s="186">
        <v>464</v>
      </c>
      <c r="E84" s="186">
        <v>289.39999999999998</v>
      </c>
      <c r="F84" s="215">
        <v>425.3</v>
      </c>
      <c r="G84" s="186">
        <v>577.79999999999995</v>
      </c>
      <c r="H84" s="186">
        <v>683.6</v>
      </c>
      <c r="I84" s="186">
        <v>405.6</v>
      </c>
      <c r="J84" s="186">
        <v>847.8</v>
      </c>
      <c r="K84" s="186">
        <v>577.5</v>
      </c>
      <c r="L84" s="186">
        <v>462.9</v>
      </c>
      <c r="M84" s="186">
        <v>463.3</v>
      </c>
      <c r="N84" s="186">
        <v>595.79999999999995</v>
      </c>
      <c r="O84" s="186">
        <v>405.7</v>
      </c>
      <c r="P84" s="186">
        <v>511.1</v>
      </c>
      <c r="Q84" s="186">
        <v>433.8</v>
      </c>
      <c r="R84" s="186">
        <v>849</v>
      </c>
      <c r="S84" s="186">
        <v>489.6</v>
      </c>
      <c r="T84" s="186">
        <v>850.1</v>
      </c>
    </row>
    <row r="85" spans="2:20">
      <c r="B85" s="213">
        <v>21.7</v>
      </c>
      <c r="C85" s="214">
        <v>463</v>
      </c>
      <c r="D85" s="186">
        <v>463.1</v>
      </c>
      <c r="E85" s="186">
        <v>288.89999999999998</v>
      </c>
      <c r="F85" s="215">
        <v>424.4</v>
      </c>
      <c r="G85" s="186">
        <v>576.6</v>
      </c>
      <c r="H85" s="186">
        <v>682.2</v>
      </c>
      <c r="I85" s="186">
        <v>404.8</v>
      </c>
      <c r="J85" s="186">
        <v>846</v>
      </c>
      <c r="K85" s="186">
        <v>576.20000000000005</v>
      </c>
      <c r="L85" s="186">
        <v>461.9</v>
      </c>
      <c r="M85" s="186">
        <v>462.1</v>
      </c>
      <c r="N85" s="186">
        <v>594.4</v>
      </c>
      <c r="O85" s="186">
        <v>404.6</v>
      </c>
      <c r="P85" s="186">
        <v>509.9</v>
      </c>
      <c r="Q85" s="186">
        <v>432.8</v>
      </c>
      <c r="R85" s="186">
        <v>847.3</v>
      </c>
      <c r="S85" s="186">
        <v>488.7</v>
      </c>
      <c r="T85" s="186">
        <v>848.4</v>
      </c>
    </row>
    <row r="86" spans="2:20">
      <c r="B86" s="213">
        <v>22</v>
      </c>
      <c r="C86" s="214">
        <v>462</v>
      </c>
      <c r="D86" s="186">
        <v>462</v>
      </c>
      <c r="E86" s="186">
        <v>288.3</v>
      </c>
      <c r="F86" s="215">
        <v>423.4</v>
      </c>
      <c r="G86" s="186">
        <v>575.20000000000005</v>
      </c>
      <c r="H86" s="186">
        <v>681.3</v>
      </c>
      <c r="I86" s="186">
        <v>403.7</v>
      </c>
      <c r="J86" s="186">
        <v>844</v>
      </c>
      <c r="K86" s="186">
        <v>575.1</v>
      </c>
      <c r="L86" s="186">
        <v>460.6</v>
      </c>
      <c r="M86" s="186">
        <v>461.2</v>
      </c>
      <c r="N86" s="186">
        <v>593.20000000000005</v>
      </c>
      <c r="O86" s="186">
        <v>403.7</v>
      </c>
      <c r="P86" s="186">
        <v>508.8</v>
      </c>
      <c r="Q86" s="186">
        <v>432</v>
      </c>
      <c r="R86" s="186">
        <v>845.3</v>
      </c>
      <c r="S86" s="186">
        <v>487.7</v>
      </c>
      <c r="T86" s="186">
        <v>847.3</v>
      </c>
    </row>
    <row r="87" spans="2:20">
      <c r="B87" s="213">
        <v>22.5</v>
      </c>
      <c r="C87" s="214">
        <v>461</v>
      </c>
      <c r="D87" s="186">
        <v>461</v>
      </c>
      <c r="E87" s="186">
        <v>287.60000000000002</v>
      </c>
      <c r="F87" s="215">
        <v>422.8</v>
      </c>
      <c r="G87" s="186">
        <v>574.1</v>
      </c>
      <c r="H87" s="186">
        <v>680.2</v>
      </c>
      <c r="I87" s="186">
        <v>403.1</v>
      </c>
      <c r="J87" s="186">
        <v>842.5</v>
      </c>
      <c r="K87" s="186">
        <v>574.20000000000005</v>
      </c>
      <c r="L87" s="186">
        <v>459.7</v>
      </c>
      <c r="M87" s="186">
        <v>460.1</v>
      </c>
      <c r="N87" s="186">
        <v>592.20000000000005</v>
      </c>
      <c r="O87" s="186">
        <v>402.9</v>
      </c>
      <c r="P87" s="186">
        <v>507.5</v>
      </c>
      <c r="Q87" s="186">
        <v>431.4</v>
      </c>
      <c r="R87" s="186">
        <v>843.9</v>
      </c>
      <c r="S87" s="186">
        <v>486.7</v>
      </c>
      <c r="T87" s="186">
        <v>846.1</v>
      </c>
    </row>
    <row r="88" spans="2:20">
      <c r="B88" s="213">
        <v>23</v>
      </c>
      <c r="C88" s="214">
        <v>460</v>
      </c>
      <c r="D88" s="186">
        <v>460</v>
      </c>
      <c r="E88" s="186">
        <v>287</v>
      </c>
      <c r="F88" s="215">
        <v>421.7</v>
      </c>
      <c r="G88" s="186">
        <v>572.29999999999995</v>
      </c>
      <c r="H88" s="186">
        <v>678.6</v>
      </c>
      <c r="I88" s="186">
        <v>402</v>
      </c>
      <c r="J88" s="186">
        <v>840.5</v>
      </c>
      <c r="K88" s="186">
        <v>572.70000000000005</v>
      </c>
      <c r="L88" s="186">
        <v>458.6</v>
      </c>
      <c r="M88" s="186">
        <v>459.1</v>
      </c>
      <c r="N88" s="186">
        <v>590.5</v>
      </c>
      <c r="O88" s="186">
        <v>401.9</v>
      </c>
      <c r="P88" s="186">
        <v>506.7</v>
      </c>
      <c r="Q88" s="186">
        <v>430.4</v>
      </c>
      <c r="R88" s="186">
        <v>842</v>
      </c>
      <c r="S88" s="186">
        <v>485.2</v>
      </c>
      <c r="T88" s="186">
        <v>843.9</v>
      </c>
    </row>
    <row r="89" spans="2:20">
      <c r="B89" s="213">
        <v>23.5</v>
      </c>
      <c r="C89" s="214">
        <v>459</v>
      </c>
      <c r="D89" s="186">
        <v>458.9</v>
      </c>
      <c r="E89" s="186">
        <v>286.2</v>
      </c>
      <c r="F89" s="215">
        <v>420.3</v>
      </c>
      <c r="G89" s="186">
        <v>570.5</v>
      </c>
      <c r="H89" s="186">
        <v>677</v>
      </c>
      <c r="I89" s="186">
        <v>400.9</v>
      </c>
      <c r="J89" s="186">
        <v>838</v>
      </c>
      <c r="K89" s="186">
        <v>571</v>
      </c>
      <c r="L89" s="186">
        <v>457.6</v>
      </c>
      <c r="M89" s="186">
        <v>458</v>
      </c>
      <c r="N89" s="186">
        <v>588.79999999999995</v>
      </c>
      <c r="O89" s="186">
        <v>400.8</v>
      </c>
      <c r="P89" s="186">
        <v>505.5</v>
      </c>
      <c r="Q89" s="186">
        <v>429.4</v>
      </c>
      <c r="R89" s="186">
        <v>840</v>
      </c>
      <c r="S89" s="186">
        <v>484</v>
      </c>
      <c r="T89" s="186">
        <v>841</v>
      </c>
    </row>
    <row r="90" spans="2:20">
      <c r="B90" s="213">
        <v>24</v>
      </c>
      <c r="C90" s="214">
        <v>458</v>
      </c>
      <c r="D90" s="186">
        <v>457.6</v>
      </c>
      <c r="E90" s="186">
        <v>285.39999999999998</v>
      </c>
      <c r="F90" s="215">
        <v>419.2</v>
      </c>
      <c r="G90" s="186">
        <v>569.29999999999995</v>
      </c>
      <c r="H90" s="186">
        <v>675.3</v>
      </c>
      <c r="I90" s="186">
        <v>399.9</v>
      </c>
      <c r="J90" s="186">
        <v>835.5</v>
      </c>
      <c r="K90" s="186">
        <v>569.29999999999995</v>
      </c>
      <c r="L90" s="186">
        <v>456.2</v>
      </c>
      <c r="M90" s="186">
        <v>456.6</v>
      </c>
      <c r="N90" s="186">
        <v>587.6</v>
      </c>
      <c r="O90" s="186">
        <v>399.9</v>
      </c>
      <c r="P90" s="186">
        <v>504.4</v>
      </c>
      <c r="Q90" s="186">
        <v>428.7</v>
      </c>
      <c r="R90" s="186">
        <v>838</v>
      </c>
      <c r="S90" s="186">
        <v>483</v>
      </c>
      <c r="T90" s="186">
        <v>838.9</v>
      </c>
    </row>
    <row r="91" spans="2:20">
      <c r="B91" s="213">
        <v>24.5</v>
      </c>
      <c r="C91" s="214">
        <v>457</v>
      </c>
      <c r="D91" s="186">
        <v>456.3</v>
      </c>
      <c r="E91" s="186">
        <v>284.7</v>
      </c>
      <c r="F91" s="215">
        <v>418.4</v>
      </c>
      <c r="G91" s="186">
        <v>568.1</v>
      </c>
      <c r="H91" s="186">
        <v>673.9</v>
      </c>
      <c r="I91" s="186">
        <v>398.8</v>
      </c>
      <c r="J91" s="186">
        <v>833.7</v>
      </c>
      <c r="K91" s="186">
        <v>568.20000000000005</v>
      </c>
      <c r="L91" s="186">
        <v>454.9</v>
      </c>
      <c r="M91" s="186">
        <v>455.4</v>
      </c>
      <c r="N91" s="186">
        <v>586.29999999999995</v>
      </c>
      <c r="O91" s="186">
        <v>398.7</v>
      </c>
      <c r="P91" s="186">
        <v>503.4</v>
      </c>
      <c r="Q91" s="186">
        <v>427.9</v>
      </c>
      <c r="R91" s="186">
        <v>836</v>
      </c>
      <c r="S91" s="186">
        <v>482.1</v>
      </c>
      <c r="T91" s="186">
        <v>837.3</v>
      </c>
    </row>
    <row r="92" spans="2:20">
      <c r="B92" s="213">
        <v>25</v>
      </c>
      <c r="C92" s="214">
        <v>456</v>
      </c>
      <c r="D92" s="186">
        <v>455.7</v>
      </c>
      <c r="E92" s="186">
        <v>284.10000000000002</v>
      </c>
      <c r="F92" s="215">
        <v>417.5</v>
      </c>
      <c r="G92" s="186">
        <v>567</v>
      </c>
      <c r="H92" s="186">
        <v>673</v>
      </c>
      <c r="I92" s="186">
        <v>398.1</v>
      </c>
      <c r="J92" s="186">
        <v>831.9</v>
      </c>
      <c r="K92" s="186">
        <v>567.29999999999995</v>
      </c>
      <c r="L92" s="186">
        <v>453.9</v>
      </c>
      <c r="M92" s="186">
        <v>454.4</v>
      </c>
      <c r="N92" s="186">
        <v>585</v>
      </c>
      <c r="O92" s="186">
        <v>397.7</v>
      </c>
      <c r="P92" s="186">
        <v>502.7</v>
      </c>
      <c r="Q92" s="186">
        <v>427.2</v>
      </c>
      <c r="R92" s="186">
        <v>834</v>
      </c>
      <c r="S92" s="186">
        <v>481.2</v>
      </c>
      <c r="T92" s="186">
        <v>836.2</v>
      </c>
    </row>
    <row r="93" spans="2:20">
      <c r="B93" s="213">
        <v>25.5</v>
      </c>
      <c r="C93" s="214">
        <v>455</v>
      </c>
      <c r="D93" s="186">
        <v>454</v>
      </c>
      <c r="E93" s="186">
        <v>283.3</v>
      </c>
      <c r="F93" s="215">
        <v>416.2</v>
      </c>
      <c r="G93" s="186">
        <v>565.1</v>
      </c>
      <c r="H93" s="186">
        <v>670.5</v>
      </c>
      <c r="I93" s="186">
        <v>396.5</v>
      </c>
      <c r="J93" s="186">
        <v>829.4</v>
      </c>
      <c r="K93" s="186">
        <v>565.9</v>
      </c>
      <c r="L93" s="186">
        <v>452.6</v>
      </c>
      <c r="M93" s="186">
        <v>452.8</v>
      </c>
      <c r="N93" s="186">
        <v>582.79999999999995</v>
      </c>
      <c r="O93" s="186">
        <v>396.8</v>
      </c>
      <c r="P93" s="186">
        <v>501.1</v>
      </c>
      <c r="Q93" s="186">
        <v>426.1</v>
      </c>
      <c r="R93" s="186">
        <v>832</v>
      </c>
      <c r="S93" s="186">
        <v>479.4</v>
      </c>
      <c r="T93" s="186">
        <v>833.8</v>
      </c>
    </row>
    <row r="94" spans="2:20">
      <c r="B94" s="213">
        <v>26</v>
      </c>
      <c r="C94" s="214">
        <v>454</v>
      </c>
      <c r="D94" s="186">
        <v>453.4</v>
      </c>
      <c r="E94" s="186">
        <v>282.8</v>
      </c>
      <c r="F94" s="215">
        <v>415.5</v>
      </c>
      <c r="G94" s="186">
        <v>564.4</v>
      </c>
      <c r="H94" s="186">
        <v>669.7</v>
      </c>
      <c r="I94" s="186">
        <v>396.1</v>
      </c>
      <c r="J94" s="186">
        <v>828.1</v>
      </c>
      <c r="K94" s="186">
        <v>565.1</v>
      </c>
      <c r="L94" s="186">
        <v>452.1</v>
      </c>
      <c r="M94" s="186">
        <v>452.1</v>
      </c>
      <c r="N94" s="186">
        <v>582.29999999999995</v>
      </c>
      <c r="O94" s="186">
        <v>396.2</v>
      </c>
      <c r="P94" s="186">
        <v>500.4</v>
      </c>
      <c r="Q94" s="186">
        <v>425.8</v>
      </c>
      <c r="R94" s="186">
        <v>829.8</v>
      </c>
      <c r="S94" s="186">
        <v>478.9</v>
      </c>
      <c r="T94" s="186">
        <v>832.8</v>
      </c>
    </row>
    <row r="95" spans="2:20">
      <c r="B95" s="213">
        <v>26.5</v>
      </c>
      <c r="C95" s="214">
        <v>453</v>
      </c>
      <c r="D95" s="186">
        <v>452.1</v>
      </c>
      <c r="E95" s="186">
        <v>282.10000000000002</v>
      </c>
      <c r="F95" s="215">
        <v>414.5</v>
      </c>
      <c r="G95" s="186">
        <v>563</v>
      </c>
      <c r="H95" s="186">
        <v>667.8</v>
      </c>
      <c r="I95" s="186">
        <v>394.9</v>
      </c>
      <c r="J95" s="186">
        <v>825.9</v>
      </c>
      <c r="K95" s="186">
        <v>564</v>
      </c>
      <c r="L95" s="186">
        <v>450.9</v>
      </c>
      <c r="M95" s="186">
        <v>450.9</v>
      </c>
      <c r="N95" s="186">
        <v>581.1</v>
      </c>
      <c r="O95" s="186">
        <v>395.1</v>
      </c>
      <c r="P95" s="186">
        <v>499</v>
      </c>
      <c r="Q95" s="186">
        <v>424.8</v>
      </c>
      <c r="R95" s="186">
        <v>827.6</v>
      </c>
      <c r="S95" s="186">
        <v>478</v>
      </c>
      <c r="T95" s="186">
        <v>831</v>
      </c>
    </row>
    <row r="96" spans="2:20">
      <c r="B96" s="213">
        <v>27</v>
      </c>
      <c r="C96" s="214">
        <v>452</v>
      </c>
      <c r="D96" s="186">
        <v>451.3</v>
      </c>
      <c r="E96" s="186">
        <v>281.60000000000002</v>
      </c>
      <c r="F96" s="215">
        <v>413.8</v>
      </c>
      <c r="G96" s="186">
        <v>562.20000000000005</v>
      </c>
      <c r="H96" s="186">
        <v>667</v>
      </c>
      <c r="I96" s="186">
        <v>394.2</v>
      </c>
      <c r="J96" s="186">
        <v>824.5</v>
      </c>
      <c r="K96" s="186">
        <v>563</v>
      </c>
      <c r="L96" s="186">
        <v>449.9</v>
      </c>
      <c r="M96" s="186">
        <v>450.1</v>
      </c>
      <c r="N96" s="186">
        <v>579.79999999999995</v>
      </c>
      <c r="O96" s="186">
        <v>394.4</v>
      </c>
      <c r="P96" s="186">
        <v>498.1</v>
      </c>
      <c r="Q96" s="186">
        <v>424.1</v>
      </c>
      <c r="R96" s="186">
        <v>826.2</v>
      </c>
      <c r="S96" s="186">
        <v>477.4</v>
      </c>
      <c r="T96" s="186">
        <v>830</v>
      </c>
    </row>
    <row r="97" spans="2:20">
      <c r="B97" s="213">
        <v>27.5</v>
      </c>
      <c r="C97" s="214">
        <v>451</v>
      </c>
      <c r="D97" s="186">
        <v>450.1</v>
      </c>
      <c r="E97" s="186">
        <v>280.89999999999998</v>
      </c>
      <c r="F97" s="215">
        <v>412.7</v>
      </c>
      <c r="G97" s="186">
        <v>561.1</v>
      </c>
      <c r="H97" s="186">
        <v>665.6</v>
      </c>
      <c r="I97" s="186">
        <v>393.3</v>
      </c>
      <c r="J97" s="186">
        <v>822.8</v>
      </c>
      <c r="K97" s="186">
        <v>561.9</v>
      </c>
      <c r="L97" s="186">
        <v>448.9</v>
      </c>
      <c r="M97" s="186">
        <v>449</v>
      </c>
      <c r="N97" s="186">
        <v>578.5</v>
      </c>
      <c r="O97" s="186">
        <v>393.5</v>
      </c>
      <c r="P97" s="186">
        <v>497</v>
      </c>
      <c r="Q97" s="186">
        <v>423.4</v>
      </c>
      <c r="R97" s="186">
        <v>824.5</v>
      </c>
      <c r="S97" s="186">
        <v>476.5</v>
      </c>
      <c r="T97" s="186">
        <v>828</v>
      </c>
    </row>
    <row r="98" spans="2:20">
      <c r="B98" s="213">
        <v>28</v>
      </c>
      <c r="C98" s="214">
        <v>450</v>
      </c>
      <c r="D98" s="186">
        <v>449.3</v>
      </c>
      <c r="E98" s="186">
        <v>280.39999999999998</v>
      </c>
      <c r="F98" s="215">
        <v>412</v>
      </c>
      <c r="G98" s="186">
        <v>560.20000000000005</v>
      </c>
      <c r="H98" s="186">
        <v>664.4</v>
      </c>
      <c r="I98" s="186">
        <v>392.5</v>
      </c>
      <c r="J98" s="186">
        <v>821.1</v>
      </c>
      <c r="K98" s="186">
        <v>561.29999999999995</v>
      </c>
      <c r="L98" s="186">
        <v>448.2</v>
      </c>
      <c r="M98" s="186">
        <v>448</v>
      </c>
      <c r="N98" s="186">
        <v>577.5</v>
      </c>
      <c r="O98" s="186">
        <v>393</v>
      </c>
      <c r="P98" s="186">
        <v>496.4</v>
      </c>
      <c r="Q98" s="186">
        <v>422.9</v>
      </c>
      <c r="R98" s="186">
        <v>823.1</v>
      </c>
      <c r="S98" s="186">
        <v>475.8</v>
      </c>
      <c r="T98" s="186">
        <v>826.9</v>
      </c>
    </row>
    <row r="99" spans="2:20">
      <c r="B99" s="213">
        <v>28.5</v>
      </c>
      <c r="C99" s="214">
        <v>449</v>
      </c>
      <c r="D99" s="186">
        <v>448.4</v>
      </c>
      <c r="E99" s="186">
        <v>279.60000000000002</v>
      </c>
      <c r="F99" s="215">
        <v>410.8</v>
      </c>
      <c r="G99" s="186">
        <v>559.1</v>
      </c>
      <c r="H99" s="186">
        <v>663.4</v>
      </c>
      <c r="I99" s="186">
        <v>391.4</v>
      </c>
      <c r="J99" s="186">
        <v>818.6</v>
      </c>
      <c r="K99" s="186">
        <v>559.79999999999995</v>
      </c>
      <c r="L99" s="186">
        <v>447.2</v>
      </c>
      <c r="M99" s="186">
        <v>447</v>
      </c>
      <c r="N99" s="186">
        <v>576</v>
      </c>
      <c r="O99" s="186">
        <v>391.9</v>
      </c>
      <c r="P99" s="186">
        <v>495.6</v>
      </c>
      <c r="Q99" s="186">
        <v>422.3</v>
      </c>
      <c r="R99" s="186">
        <v>820.9</v>
      </c>
      <c r="S99" s="186">
        <v>474.9</v>
      </c>
      <c r="T99" s="186">
        <v>825.3</v>
      </c>
    </row>
    <row r="100" spans="2:20">
      <c r="B100" s="213">
        <v>29</v>
      </c>
      <c r="C100" s="214">
        <v>448</v>
      </c>
      <c r="D100" s="186">
        <v>446.8</v>
      </c>
      <c r="E100" s="186">
        <v>278.8</v>
      </c>
      <c r="F100" s="215">
        <v>409.7</v>
      </c>
      <c r="G100" s="186">
        <v>557.70000000000005</v>
      </c>
      <c r="H100" s="186">
        <v>661.6</v>
      </c>
      <c r="I100" s="186">
        <v>390.4</v>
      </c>
      <c r="J100" s="186">
        <v>816.5</v>
      </c>
      <c r="K100" s="186">
        <v>558.70000000000005</v>
      </c>
      <c r="L100" s="186">
        <v>446.1</v>
      </c>
      <c r="M100" s="186">
        <v>446</v>
      </c>
      <c r="N100" s="186">
        <v>574.29999999999995</v>
      </c>
      <c r="O100" s="186">
        <v>390.7</v>
      </c>
      <c r="P100" s="186">
        <v>494.4</v>
      </c>
      <c r="Q100" s="186">
        <v>421.4</v>
      </c>
      <c r="R100" s="186">
        <v>818.9</v>
      </c>
      <c r="S100" s="186">
        <v>474</v>
      </c>
      <c r="T100" s="186">
        <v>823.5</v>
      </c>
    </row>
    <row r="101" spans="2:20">
      <c r="B101" s="213">
        <v>29.5</v>
      </c>
      <c r="C101" s="214">
        <v>447</v>
      </c>
      <c r="D101" s="186">
        <v>445.9</v>
      </c>
      <c r="E101" s="186">
        <v>278</v>
      </c>
      <c r="F101" s="215">
        <v>408.5</v>
      </c>
      <c r="G101" s="186">
        <v>556.4</v>
      </c>
      <c r="H101" s="186">
        <v>659.7</v>
      </c>
      <c r="I101" s="186">
        <v>389.4</v>
      </c>
      <c r="J101" s="186">
        <v>814.3</v>
      </c>
      <c r="K101" s="186">
        <v>557.70000000000005</v>
      </c>
      <c r="L101" s="186">
        <v>444.8</v>
      </c>
      <c r="M101" s="186">
        <v>444.8</v>
      </c>
      <c r="N101" s="186">
        <v>572.79999999999995</v>
      </c>
      <c r="O101" s="186">
        <v>389.9</v>
      </c>
      <c r="P101" s="186">
        <v>493.2</v>
      </c>
      <c r="Q101" s="186">
        <v>420.8</v>
      </c>
      <c r="R101" s="186">
        <v>817</v>
      </c>
      <c r="S101" s="186">
        <v>473</v>
      </c>
      <c r="T101" s="186">
        <v>822.2</v>
      </c>
    </row>
    <row r="102" spans="2:20">
      <c r="B102" s="213">
        <v>30</v>
      </c>
      <c r="C102" s="214">
        <v>446</v>
      </c>
      <c r="D102" s="186">
        <v>445</v>
      </c>
      <c r="E102" s="186">
        <v>277.7</v>
      </c>
      <c r="F102" s="215">
        <v>408</v>
      </c>
      <c r="G102" s="186">
        <v>555.20000000000005</v>
      </c>
      <c r="H102" s="186">
        <v>658.5</v>
      </c>
      <c r="I102" s="186">
        <v>388.8</v>
      </c>
      <c r="J102" s="186">
        <v>813</v>
      </c>
      <c r="K102" s="186">
        <v>556.70000000000005</v>
      </c>
      <c r="L102" s="186">
        <v>443.9</v>
      </c>
      <c r="M102" s="186">
        <v>444</v>
      </c>
      <c r="N102" s="186">
        <v>571.70000000000005</v>
      </c>
      <c r="O102" s="186">
        <v>389.1</v>
      </c>
      <c r="P102" s="186">
        <v>492.4</v>
      </c>
      <c r="Q102" s="186">
        <v>420.2</v>
      </c>
      <c r="R102" s="186">
        <v>815</v>
      </c>
      <c r="S102" s="186">
        <v>472.1</v>
      </c>
      <c r="T102" s="186">
        <v>821.1</v>
      </c>
    </row>
    <row r="103" spans="2:20">
      <c r="B103" s="213">
        <v>30.5</v>
      </c>
      <c r="C103" s="214">
        <v>445</v>
      </c>
      <c r="D103" s="186">
        <v>443.9</v>
      </c>
      <c r="E103" s="186">
        <v>277.2</v>
      </c>
      <c r="F103" s="215">
        <v>407.2</v>
      </c>
      <c r="G103" s="186">
        <v>554.29999999999995</v>
      </c>
      <c r="H103" s="186">
        <v>657.5</v>
      </c>
      <c r="I103" s="186">
        <v>388.1</v>
      </c>
      <c r="J103" s="186">
        <v>811.6</v>
      </c>
      <c r="K103" s="186">
        <v>555.4</v>
      </c>
      <c r="L103" s="186">
        <v>443</v>
      </c>
      <c r="M103" s="186">
        <v>443</v>
      </c>
      <c r="N103" s="186">
        <v>570.70000000000005</v>
      </c>
      <c r="O103" s="186">
        <v>388.1</v>
      </c>
      <c r="P103" s="186">
        <v>491.3</v>
      </c>
      <c r="Q103" s="186">
        <v>419.6</v>
      </c>
      <c r="R103" s="186">
        <v>813</v>
      </c>
      <c r="S103" s="186">
        <v>471.2</v>
      </c>
      <c r="T103" s="186">
        <v>819.6</v>
      </c>
    </row>
    <row r="104" spans="2:20">
      <c r="B104" s="213">
        <v>31</v>
      </c>
      <c r="C104" s="214">
        <v>444</v>
      </c>
      <c r="D104" s="186">
        <v>443.1</v>
      </c>
      <c r="E104" s="186">
        <v>276.60000000000002</v>
      </c>
      <c r="F104" s="215">
        <v>406.3</v>
      </c>
      <c r="G104" s="186">
        <v>553.29999999999995</v>
      </c>
      <c r="H104" s="186">
        <v>655.7</v>
      </c>
      <c r="I104" s="186">
        <v>387.1</v>
      </c>
      <c r="J104" s="186">
        <v>809.9</v>
      </c>
      <c r="K104" s="186">
        <v>554.29999999999995</v>
      </c>
      <c r="L104" s="186">
        <v>442.2</v>
      </c>
      <c r="M104" s="186">
        <v>442</v>
      </c>
      <c r="N104" s="186">
        <v>569.6</v>
      </c>
      <c r="O104" s="186">
        <v>387.3</v>
      </c>
      <c r="P104" s="186">
        <v>490.5</v>
      </c>
      <c r="Q104" s="186">
        <v>418.9</v>
      </c>
      <c r="R104" s="186">
        <v>811.3</v>
      </c>
      <c r="S104" s="186">
        <v>470.4</v>
      </c>
      <c r="T104" s="186">
        <v>818.5</v>
      </c>
    </row>
    <row r="105" spans="2:20">
      <c r="B105" s="213">
        <v>31.5</v>
      </c>
      <c r="C105" s="214">
        <v>443</v>
      </c>
      <c r="D105" s="186">
        <v>442.1</v>
      </c>
      <c r="E105" s="186">
        <v>275.89999999999998</v>
      </c>
      <c r="F105" s="215">
        <v>405.3</v>
      </c>
      <c r="G105" s="186">
        <v>551.70000000000005</v>
      </c>
      <c r="H105" s="186">
        <v>654.1</v>
      </c>
      <c r="I105" s="186">
        <v>386.1</v>
      </c>
      <c r="J105" s="186">
        <v>807.8</v>
      </c>
      <c r="K105" s="186">
        <v>552.79999999999995</v>
      </c>
      <c r="L105" s="186">
        <v>440.7</v>
      </c>
      <c r="M105" s="186">
        <v>440.8</v>
      </c>
      <c r="N105" s="186">
        <v>568.29999999999995</v>
      </c>
      <c r="O105" s="186">
        <v>386.3</v>
      </c>
      <c r="P105" s="186">
        <v>489.4</v>
      </c>
      <c r="Q105" s="186">
        <v>418</v>
      </c>
      <c r="R105" s="186">
        <v>809.6</v>
      </c>
      <c r="S105" s="186">
        <v>469.2</v>
      </c>
      <c r="T105" s="186">
        <v>816.8</v>
      </c>
    </row>
    <row r="106" spans="2:20">
      <c r="B106" s="213">
        <v>32</v>
      </c>
      <c r="C106" s="214">
        <v>442</v>
      </c>
      <c r="D106" s="186">
        <v>440.6</v>
      </c>
      <c r="E106" s="186">
        <v>275.10000000000002</v>
      </c>
      <c r="F106" s="215">
        <v>404.2</v>
      </c>
      <c r="G106" s="186">
        <v>550.5</v>
      </c>
      <c r="H106" s="186">
        <v>653</v>
      </c>
      <c r="I106" s="186">
        <v>385.3</v>
      </c>
      <c r="J106" s="186">
        <v>805.6</v>
      </c>
      <c r="K106" s="186">
        <v>551.70000000000005</v>
      </c>
      <c r="L106" s="186">
        <v>440.1</v>
      </c>
      <c r="M106" s="186">
        <v>439.7</v>
      </c>
      <c r="N106" s="186">
        <v>567.1</v>
      </c>
      <c r="O106" s="186">
        <v>385.5</v>
      </c>
      <c r="P106" s="186">
        <v>488</v>
      </c>
      <c r="Q106" s="186">
        <v>417.2</v>
      </c>
      <c r="R106" s="186">
        <v>808</v>
      </c>
      <c r="S106" s="186">
        <v>468.2</v>
      </c>
      <c r="T106" s="186">
        <v>814.6</v>
      </c>
    </row>
    <row r="107" spans="2:20">
      <c r="B107" s="213">
        <v>32.5</v>
      </c>
      <c r="C107" s="214">
        <v>441</v>
      </c>
      <c r="D107" s="186">
        <v>439.5</v>
      </c>
      <c r="E107" s="186">
        <v>274.5</v>
      </c>
      <c r="F107" s="215">
        <v>403.4</v>
      </c>
      <c r="G107" s="186">
        <v>549.29999999999995</v>
      </c>
      <c r="H107" s="186">
        <v>651.6</v>
      </c>
      <c r="I107" s="186">
        <v>384.6</v>
      </c>
      <c r="J107" s="186">
        <v>803.8</v>
      </c>
      <c r="K107" s="186">
        <v>550.5</v>
      </c>
      <c r="L107" s="186">
        <v>439.3</v>
      </c>
      <c r="M107" s="186">
        <v>438.7</v>
      </c>
      <c r="N107" s="186">
        <v>565.5</v>
      </c>
      <c r="O107" s="186">
        <v>384.8</v>
      </c>
      <c r="P107" s="186">
        <v>487</v>
      </c>
      <c r="Q107" s="186">
        <v>416.3</v>
      </c>
      <c r="R107" s="186">
        <v>806.3</v>
      </c>
      <c r="S107" s="186">
        <v>467.1</v>
      </c>
      <c r="T107" s="186">
        <v>812.4</v>
      </c>
    </row>
    <row r="108" spans="2:20">
      <c r="B108" s="213">
        <v>33</v>
      </c>
      <c r="C108" s="214">
        <v>440</v>
      </c>
      <c r="D108" s="186">
        <v>438</v>
      </c>
      <c r="E108" s="186">
        <v>274.10000000000002</v>
      </c>
      <c r="F108" s="215">
        <v>402.8</v>
      </c>
      <c r="G108" s="186">
        <v>548.20000000000005</v>
      </c>
      <c r="H108" s="186">
        <v>650.4</v>
      </c>
      <c r="I108" s="186">
        <v>383.6</v>
      </c>
      <c r="J108" s="186">
        <v>802.5</v>
      </c>
      <c r="K108" s="186">
        <v>549.4</v>
      </c>
      <c r="L108" s="186">
        <v>438</v>
      </c>
      <c r="M108" s="186">
        <v>437.7</v>
      </c>
      <c r="N108" s="186">
        <v>564.5</v>
      </c>
      <c r="O108" s="186">
        <v>383.9</v>
      </c>
      <c r="P108" s="186">
        <v>486.1</v>
      </c>
      <c r="Q108" s="186">
        <v>415.6</v>
      </c>
      <c r="R108" s="186">
        <v>804.4</v>
      </c>
      <c r="S108" s="186">
        <v>466.4</v>
      </c>
      <c r="T108" s="186">
        <v>810.7</v>
      </c>
    </row>
    <row r="109" spans="2:20">
      <c r="B109" s="213">
        <v>33.5</v>
      </c>
      <c r="C109" s="214">
        <v>439</v>
      </c>
      <c r="D109" s="186">
        <v>437.3</v>
      </c>
      <c r="E109" s="186">
        <v>273.5</v>
      </c>
      <c r="F109" s="215">
        <v>401.8</v>
      </c>
      <c r="G109" s="186">
        <v>547.4</v>
      </c>
      <c r="H109" s="186">
        <v>649</v>
      </c>
      <c r="I109" s="186">
        <v>382.7</v>
      </c>
      <c r="J109" s="186">
        <v>800.6</v>
      </c>
      <c r="K109" s="186">
        <v>548.5</v>
      </c>
      <c r="L109" s="186">
        <v>436.9</v>
      </c>
      <c r="M109" s="186">
        <v>436.7</v>
      </c>
      <c r="N109" s="186">
        <v>563.79999999999995</v>
      </c>
      <c r="O109" s="186">
        <v>383</v>
      </c>
      <c r="P109" s="186">
        <v>485.3</v>
      </c>
      <c r="Q109" s="186">
        <v>414.8</v>
      </c>
      <c r="R109" s="186">
        <v>802.5</v>
      </c>
      <c r="S109" s="186">
        <v>465.5</v>
      </c>
      <c r="T109" s="186">
        <v>809.4</v>
      </c>
    </row>
    <row r="110" spans="2:20">
      <c r="B110" s="213">
        <v>34</v>
      </c>
      <c r="C110" s="214">
        <v>438</v>
      </c>
      <c r="D110" s="186">
        <v>436.1</v>
      </c>
      <c r="E110" s="186">
        <v>272.89999999999998</v>
      </c>
      <c r="F110" s="215">
        <v>401</v>
      </c>
      <c r="G110" s="186">
        <v>546.1</v>
      </c>
      <c r="H110" s="186">
        <v>647.20000000000005</v>
      </c>
      <c r="I110" s="186">
        <v>381.5</v>
      </c>
      <c r="J110" s="186">
        <v>799.1</v>
      </c>
      <c r="K110" s="186">
        <v>547.70000000000005</v>
      </c>
      <c r="L110" s="186">
        <v>436.2</v>
      </c>
      <c r="M110" s="186">
        <v>435.7</v>
      </c>
      <c r="N110" s="186">
        <v>562.9</v>
      </c>
      <c r="O110" s="186">
        <v>382.1</v>
      </c>
      <c r="P110" s="186">
        <v>484.2</v>
      </c>
      <c r="Q110" s="186">
        <v>414.4</v>
      </c>
      <c r="R110" s="186">
        <v>800.8</v>
      </c>
      <c r="S110" s="186">
        <v>464.7</v>
      </c>
      <c r="T110" s="186">
        <v>807.7</v>
      </c>
    </row>
    <row r="111" spans="2:20">
      <c r="B111" s="213">
        <v>34.5</v>
      </c>
      <c r="C111" s="214">
        <v>437</v>
      </c>
      <c r="D111" s="186">
        <v>435.4</v>
      </c>
      <c r="E111" s="186">
        <v>272.10000000000002</v>
      </c>
      <c r="F111" s="215">
        <v>400.1</v>
      </c>
      <c r="G111" s="186">
        <v>545.20000000000005</v>
      </c>
      <c r="H111" s="186">
        <v>646.20000000000005</v>
      </c>
      <c r="I111" s="186">
        <v>380.6</v>
      </c>
      <c r="J111" s="186">
        <v>797.5</v>
      </c>
      <c r="K111" s="186">
        <v>546.70000000000005</v>
      </c>
      <c r="L111" s="186">
        <v>434.9</v>
      </c>
      <c r="M111" s="186">
        <v>434.5</v>
      </c>
      <c r="N111" s="186">
        <v>561.1</v>
      </c>
      <c r="O111" s="186">
        <v>381.1</v>
      </c>
      <c r="P111" s="186">
        <v>483.6</v>
      </c>
      <c r="Q111" s="186">
        <v>413.8</v>
      </c>
      <c r="R111" s="186">
        <v>799.1</v>
      </c>
      <c r="S111" s="186">
        <v>464</v>
      </c>
      <c r="T111" s="186">
        <v>806.6</v>
      </c>
    </row>
    <row r="112" spans="2:20">
      <c r="B112" s="213">
        <v>35</v>
      </c>
      <c r="C112" s="214">
        <v>436</v>
      </c>
      <c r="D112" s="186">
        <v>433.7</v>
      </c>
      <c r="E112" s="186">
        <v>271.3</v>
      </c>
      <c r="F112" s="215">
        <v>398.7</v>
      </c>
      <c r="G112" s="186">
        <v>543.9</v>
      </c>
      <c r="H112" s="186">
        <v>644.5</v>
      </c>
      <c r="I112" s="186">
        <v>379.4</v>
      </c>
      <c r="J112" s="186">
        <v>795</v>
      </c>
      <c r="K112" s="186">
        <v>545.4</v>
      </c>
      <c r="L112" s="186">
        <v>433.7</v>
      </c>
      <c r="M112" s="186">
        <v>432.9</v>
      </c>
      <c r="N112" s="186">
        <v>559.1</v>
      </c>
      <c r="O112" s="186">
        <v>379.9</v>
      </c>
      <c r="P112" s="186">
        <v>482.1</v>
      </c>
      <c r="Q112" s="186">
        <v>413.1</v>
      </c>
      <c r="R112" s="186">
        <v>796.9</v>
      </c>
      <c r="S112" s="186">
        <v>462.8</v>
      </c>
      <c r="T112" s="186">
        <v>804.5</v>
      </c>
    </row>
    <row r="113" spans="2:20">
      <c r="B113" s="213">
        <v>35.5</v>
      </c>
      <c r="C113" s="214">
        <v>435</v>
      </c>
      <c r="D113" s="186">
        <v>432.8</v>
      </c>
      <c r="E113" s="186">
        <v>270.60000000000002</v>
      </c>
      <c r="F113" s="215">
        <v>397.4</v>
      </c>
      <c r="G113" s="186">
        <v>542.6</v>
      </c>
      <c r="H113" s="186">
        <v>643.1</v>
      </c>
      <c r="I113" s="186">
        <v>378.5</v>
      </c>
      <c r="J113" s="186">
        <v>793</v>
      </c>
      <c r="K113" s="186">
        <v>544.6</v>
      </c>
      <c r="L113" s="186">
        <v>432.2</v>
      </c>
      <c r="M113" s="186">
        <v>431.3</v>
      </c>
      <c r="N113" s="186">
        <v>557.79999999999995</v>
      </c>
      <c r="O113" s="186">
        <v>378.9</v>
      </c>
      <c r="P113" s="186">
        <v>481</v>
      </c>
      <c r="Q113" s="186">
        <v>412.5</v>
      </c>
      <c r="R113" s="186">
        <v>794.9</v>
      </c>
      <c r="S113" s="186">
        <v>461.7</v>
      </c>
      <c r="T113" s="186">
        <v>802.9</v>
      </c>
    </row>
    <row r="114" spans="2:20">
      <c r="B114" s="213">
        <v>36</v>
      </c>
      <c r="C114" s="214">
        <v>434</v>
      </c>
      <c r="D114" s="186">
        <v>432.3</v>
      </c>
      <c r="E114" s="186">
        <v>270.10000000000002</v>
      </c>
      <c r="F114" s="215">
        <v>396.8</v>
      </c>
      <c r="G114" s="186">
        <v>542</v>
      </c>
      <c r="H114" s="186">
        <v>642.70000000000005</v>
      </c>
      <c r="I114" s="186">
        <v>377.9</v>
      </c>
      <c r="J114" s="186">
        <v>790.9</v>
      </c>
      <c r="K114" s="186">
        <v>543.70000000000005</v>
      </c>
      <c r="L114" s="186">
        <v>431.6</v>
      </c>
      <c r="M114" s="186">
        <v>430.8</v>
      </c>
      <c r="N114" s="186">
        <v>557.29999999999995</v>
      </c>
      <c r="O114" s="186">
        <v>378.4</v>
      </c>
      <c r="P114" s="186">
        <v>480.6</v>
      </c>
      <c r="Q114" s="186">
        <v>412.1</v>
      </c>
      <c r="R114" s="186">
        <v>793</v>
      </c>
      <c r="S114" s="186">
        <v>461.4</v>
      </c>
      <c r="T114" s="186">
        <v>802</v>
      </c>
    </row>
    <row r="115" spans="2:20">
      <c r="B115" s="213">
        <v>36.5</v>
      </c>
      <c r="C115" s="214">
        <v>433</v>
      </c>
      <c r="D115" s="186">
        <v>431.6</v>
      </c>
      <c r="E115" s="186">
        <v>269.60000000000002</v>
      </c>
      <c r="F115" s="215">
        <v>396.2</v>
      </c>
      <c r="G115" s="186">
        <v>540.79999999999995</v>
      </c>
      <c r="H115" s="186">
        <v>641.20000000000005</v>
      </c>
      <c r="I115" s="186">
        <v>377.2</v>
      </c>
      <c r="J115" s="186">
        <v>789.5</v>
      </c>
      <c r="K115" s="186">
        <v>542.6</v>
      </c>
      <c r="L115" s="186">
        <v>430.8</v>
      </c>
      <c r="M115" s="186">
        <v>429.9</v>
      </c>
      <c r="N115" s="186">
        <v>556</v>
      </c>
      <c r="O115" s="186">
        <v>377.6</v>
      </c>
      <c r="P115" s="186">
        <v>479.8</v>
      </c>
      <c r="Q115" s="186">
        <v>411.3</v>
      </c>
      <c r="R115" s="186">
        <v>791.7</v>
      </c>
      <c r="S115" s="186">
        <v>460.7</v>
      </c>
      <c r="T115" s="186">
        <v>800.7</v>
      </c>
    </row>
    <row r="116" spans="2:20">
      <c r="B116" s="213">
        <v>37</v>
      </c>
      <c r="C116" s="214">
        <v>432</v>
      </c>
      <c r="D116" s="186">
        <v>430.5</v>
      </c>
      <c r="E116" s="186">
        <v>269</v>
      </c>
      <c r="F116" s="215">
        <v>395.2</v>
      </c>
      <c r="G116" s="186">
        <v>539.20000000000005</v>
      </c>
      <c r="H116" s="186">
        <v>639.29999999999995</v>
      </c>
      <c r="I116" s="186">
        <v>376.4</v>
      </c>
      <c r="J116" s="186">
        <v>787.5</v>
      </c>
      <c r="K116" s="186">
        <v>541.20000000000005</v>
      </c>
      <c r="L116" s="186">
        <v>429.8</v>
      </c>
      <c r="M116" s="186">
        <v>429</v>
      </c>
      <c r="N116" s="186">
        <v>554.5</v>
      </c>
      <c r="O116" s="186">
        <v>376.7</v>
      </c>
      <c r="P116" s="186">
        <v>478.8</v>
      </c>
      <c r="Q116" s="186">
        <v>410.3</v>
      </c>
      <c r="R116" s="186">
        <v>789.7</v>
      </c>
      <c r="S116" s="186">
        <v>459</v>
      </c>
      <c r="T116" s="186">
        <v>798.7</v>
      </c>
    </row>
    <row r="117" spans="2:20">
      <c r="B117" s="213">
        <v>37.5</v>
      </c>
      <c r="C117" s="214">
        <v>431</v>
      </c>
      <c r="D117" s="186">
        <v>429.1</v>
      </c>
      <c r="E117" s="186">
        <v>268.2</v>
      </c>
      <c r="F117" s="215">
        <v>394.5</v>
      </c>
      <c r="G117" s="186">
        <v>538.1</v>
      </c>
      <c r="H117" s="186">
        <v>637.9</v>
      </c>
      <c r="I117" s="186">
        <v>375.8</v>
      </c>
      <c r="J117" s="186">
        <v>786.3</v>
      </c>
      <c r="K117" s="186">
        <v>540</v>
      </c>
      <c r="L117" s="186">
        <v>428.7</v>
      </c>
      <c r="M117" s="186">
        <v>428</v>
      </c>
      <c r="N117" s="186">
        <v>553.1</v>
      </c>
      <c r="O117" s="186">
        <v>375.6</v>
      </c>
      <c r="P117" s="186">
        <v>477.4</v>
      </c>
      <c r="Q117" s="186">
        <v>409.5</v>
      </c>
      <c r="R117" s="186">
        <v>787.5</v>
      </c>
      <c r="S117" s="186">
        <v>458.1</v>
      </c>
      <c r="T117" s="186">
        <v>796.7</v>
      </c>
    </row>
    <row r="118" spans="2:20">
      <c r="B118" s="213">
        <v>38</v>
      </c>
      <c r="C118" s="214">
        <v>430</v>
      </c>
      <c r="D118" s="186">
        <v>428</v>
      </c>
      <c r="E118" s="186">
        <v>267.60000000000002</v>
      </c>
      <c r="F118" s="215">
        <v>393.2</v>
      </c>
      <c r="G118" s="186">
        <v>536.70000000000005</v>
      </c>
      <c r="H118" s="186">
        <v>636.4</v>
      </c>
      <c r="I118" s="186">
        <v>374.5</v>
      </c>
      <c r="J118" s="186">
        <v>783.6</v>
      </c>
      <c r="K118" s="186">
        <v>538.79999999999995</v>
      </c>
      <c r="L118" s="186">
        <v>427.8</v>
      </c>
      <c r="M118" s="186">
        <v>426.6</v>
      </c>
      <c r="N118" s="186">
        <v>551.79999999999995</v>
      </c>
      <c r="O118" s="186">
        <v>374.6</v>
      </c>
      <c r="P118" s="186">
        <v>476.2</v>
      </c>
      <c r="Q118" s="186">
        <v>408.7</v>
      </c>
      <c r="R118" s="186">
        <v>785.5</v>
      </c>
      <c r="S118" s="186">
        <v>457.2</v>
      </c>
      <c r="T118" s="186">
        <v>794.6</v>
      </c>
    </row>
    <row r="119" spans="2:20">
      <c r="B119" s="213">
        <v>38.5</v>
      </c>
      <c r="C119" s="214">
        <v>429</v>
      </c>
      <c r="D119" s="186">
        <v>426.8</v>
      </c>
      <c r="E119" s="186">
        <v>267</v>
      </c>
      <c r="F119" s="215">
        <v>392.3</v>
      </c>
      <c r="G119" s="186">
        <v>535.70000000000005</v>
      </c>
      <c r="H119" s="186">
        <v>635</v>
      </c>
      <c r="I119" s="186">
        <v>373.6</v>
      </c>
      <c r="J119" s="186">
        <v>781.7</v>
      </c>
      <c r="K119" s="186">
        <v>537.4</v>
      </c>
      <c r="L119" s="186">
        <v>426.4</v>
      </c>
      <c r="M119" s="186">
        <v>425.4</v>
      </c>
      <c r="N119" s="186">
        <v>550.29999999999995</v>
      </c>
      <c r="O119" s="186">
        <v>373.7</v>
      </c>
      <c r="P119" s="186">
        <v>475.3</v>
      </c>
      <c r="Q119" s="186">
        <v>407.8</v>
      </c>
      <c r="R119" s="186">
        <v>783.6</v>
      </c>
      <c r="S119" s="186">
        <v>456.6</v>
      </c>
      <c r="T119" s="186">
        <v>793</v>
      </c>
    </row>
    <row r="120" spans="2:20">
      <c r="B120" s="213">
        <v>39</v>
      </c>
      <c r="C120" s="214">
        <v>428</v>
      </c>
      <c r="D120" s="186">
        <v>425.7</v>
      </c>
      <c r="E120" s="186">
        <v>266.3</v>
      </c>
      <c r="F120" s="215">
        <v>391.2</v>
      </c>
      <c r="G120" s="186">
        <v>534.1</v>
      </c>
      <c r="H120" s="186">
        <v>633.5</v>
      </c>
      <c r="I120" s="186">
        <v>372.5</v>
      </c>
      <c r="J120" s="186">
        <v>779.6</v>
      </c>
      <c r="K120" s="186">
        <v>535.79999999999995</v>
      </c>
      <c r="L120" s="186">
        <v>425.3</v>
      </c>
      <c r="M120" s="186">
        <v>424.6</v>
      </c>
      <c r="N120" s="186">
        <v>549.29999999999995</v>
      </c>
      <c r="O120" s="186">
        <v>372.6</v>
      </c>
      <c r="P120" s="186">
        <v>473.9</v>
      </c>
      <c r="Q120" s="186">
        <v>406.9</v>
      </c>
      <c r="R120" s="186">
        <v>781.6</v>
      </c>
      <c r="S120" s="186">
        <v>454.9</v>
      </c>
      <c r="T120" s="186">
        <v>790.7</v>
      </c>
    </row>
    <row r="121" spans="2:20">
      <c r="B121" s="213">
        <v>39.5</v>
      </c>
      <c r="C121" s="214">
        <v>427</v>
      </c>
      <c r="D121" s="186">
        <v>424.8</v>
      </c>
      <c r="E121" s="186">
        <v>265.7</v>
      </c>
      <c r="F121" s="215">
        <v>390.5</v>
      </c>
      <c r="G121" s="186">
        <v>532.79999999999995</v>
      </c>
      <c r="H121" s="186">
        <v>632.4</v>
      </c>
      <c r="I121" s="186">
        <v>371.9</v>
      </c>
      <c r="J121" s="186">
        <v>778</v>
      </c>
      <c r="K121" s="186">
        <v>535</v>
      </c>
      <c r="L121" s="186">
        <v>424.4</v>
      </c>
      <c r="M121" s="186">
        <v>423.8</v>
      </c>
      <c r="N121" s="186">
        <v>547.9</v>
      </c>
      <c r="O121" s="186">
        <v>371.8</v>
      </c>
      <c r="P121" s="186">
        <v>473.4</v>
      </c>
      <c r="Q121" s="186">
        <v>406.2</v>
      </c>
      <c r="R121" s="186">
        <v>779.7</v>
      </c>
      <c r="S121" s="186">
        <v>454</v>
      </c>
      <c r="T121" s="186">
        <v>789.1</v>
      </c>
    </row>
    <row r="122" spans="2:20">
      <c r="B122" s="213">
        <v>40</v>
      </c>
      <c r="C122" s="214">
        <v>426</v>
      </c>
      <c r="D122" s="186">
        <v>423.9</v>
      </c>
      <c r="E122" s="186">
        <v>265.10000000000002</v>
      </c>
      <c r="F122" s="215">
        <v>389.6</v>
      </c>
      <c r="G122" s="186">
        <v>531.29999999999995</v>
      </c>
      <c r="H122" s="186">
        <v>630.9</v>
      </c>
      <c r="I122" s="186">
        <v>370.9</v>
      </c>
      <c r="J122" s="186">
        <v>776.5</v>
      </c>
      <c r="K122" s="186">
        <v>533.6</v>
      </c>
      <c r="L122" s="186">
        <v>423.6</v>
      </c>
      <c r="M122" s="186">
        <v>423.2</v>
      </c>
      <c r="N122" s="186">
        <v>546.70000000000005</v>
      </c>
      <c r="O122" s="186">
        <v>371.2</v>
      </c>
      <c r="P122" s="186">
        <v>472.1</v>
      </c>
      <c r="Q122" s="186">
        <v>405.3</v>
      </c>
      <c r="R122" s="186">
        <v>778.3</v>
      </c>
      <c r="S122" s="186">
        <v>452.9</v>
      </c>
      <c r="T122" s="186">
        <v>786.9</v>
      </c>
    </row>
    <row r="123" spans="2:20">
      <c r="B123" s="177" t="s">
        <v>1592</v>
      </c>
      <c r="E123" s="175"/>
      <c r="F123" s="175"/>
    </row>
    <row r="124" spans="2:20">
      <c r="B124" s="177" t="s">
        <v>1593</v>
      </c>
      <c r="E124" s="175"/>
    </row>
  </sheetData>
  <sheetProtection selectLockedCells="1" selectUnlockedCells="1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workbookViewId="0">
      <selection activeCell="S4" sqref="S4:S122"/>
    </sheetView>
  </sheetViews>
  <sheetFormatPr defaultRowHeight="16.5"/>
  <cols>
    <col min="1" max="17" width="9" style="8"/>
    <col min="18" max="18" width="13.125" style="8" customWidth="1"/>
    <col min="19" max="19" width="9.125" style="8" customWidth="1"/>
    <col min="20" max="20" width="12.875" style="191" customWidth="1"/>
    <col min="21" max="21" width="6.375" style="8" customWidth="1"/>
    <col min="22" max="16384" width="9" style="8"/>
  </cols>
  <sheetData>
    <row r="1" spans="1:23" ht="24">
      <c r="A1" s="128" t="s">
        <v>1519</v>
      </c>
      <c r="B1" s="280" t="s">
        <v>20</v>
      </c>
      <c r="C1" s="280" t="s">
        <v>21</v>
      </c>
      <c r="D1" s="282" t="s">
        <v>44</v>
      </c>
      <c r="E1" s="284" t="s">
        <v>1520</v>
      </c>
      <c r="F1" s="280" t="s">
        <v>1521</v>
      </c>
      <c r="G1" s="280" t="s">
        <v>1522</v>
      </c>
      <c r="H1" s="129" t="s">
        <v>1523</v>
      </c>
      <c r="I1" s="280" t="s">
        <v>1524</v>
      </c>
      <c r="J1" s="129" t="s">
        <v>1525</v>
      </c>
      <c r="K1" s="129" t="s">
        <v>1525</v>
      </c>
      <c r="L1" s="130" t="s">
        <v>1526</v>
      </c>
      <c r="M1" s="130" t="s">
        <v>1527</v>
      </c>
      <c r="N1" s="280" t="s">
        <v>1528</v>
      </c>
      <c r="O1" s="130" t="s">
        <v>1529</v>
      </c>
      <c r="P1" s="131" t="s">
        <v>1530</v>
      </c>
      <c r="Q1" s="131" t="s">
        <v>1530</v>
      </c>
      <c r="R1" s="137" t="s">
        <v>1545</v>
      </c>
      <c r="S1" s="184" t="s">
        <v>1594</v>
      </c>
      <c r="T1" s="187" t="s">
        <v>1545</v>
      </c>
    </row>
    <row r="2" spans="1:23">
      <c r="A2" s="132" t="s">
        <v>1531</v>
      </c>
      <c r="B2" s="281"/>
      <c r="C2" s="281"/>
      <c r="D2" s="283"/>
      <c r="E2" s="285"/>
      <c r="F2" s="281"/>
      <c r="G2" s="281"/>
      <c r="H2" s="133" t="s">
        <v>1532</v>
      </c>
      <c r="I2" s="281"/>
      <c r="J2" s="133" t="s">
        <v>1533</v>
      </c>
      <c r="K2" s="133" t="s">
        <v>1532</v>
      </c>
      <c r="L2" s="133" t="s">
        <v>1534</v>
      </c>
      <c r="M2" s="133" t="s">
        <v>1535</v>
      </c>
      <c r="N2" s="281"/>
      <c r="O2" s="133" t="s">
        <v>1536</v>
      </c>
      <c r="P2" s="134"/>
      <c r="Q2" s="134"/>
      <c r="R2" s="138" t="s">
        <v>1542</v>
      </c>
      <c r="S2" s="185"/>
      <c r="T2" s="188" t="s">
        <v>1542</v>
      </c>
      <c r="V2" s="8">
        <v>131218</v>
      </c>
    </row>
    <row r="3" spans="1:23">
      <c r="A3" s="278" t="s">
        <v>1537</v>
      </c>
      <c r="B3" s="178" t="s">
        <v>1537</v>
      </c>
      <c r="C3" s="178" t="s">
        <v>1538</v>
      </c>
      <c r="D3" s="179" t="s">
        <v>1538</v>
      </c>
      <c r="E3" s="180" t="s">
        <v>1539</v>
      </c>
      <c r="F3" s="178" t="s">
        <v>1537</v>
      </c>
      <c r="G3" s="178" t="s">
        <v>1540</v>
      </c>
      <c r="H3" s="178" t="s">
        <v>1539</v>
      </c>
      <c r="I3" s="178" t="s">
        <v>1539</v>
      </c>
      <c r="J3" s="178" t="s">
        <v>1537</v>
      </c>
      <c r="K3" s="178" t="s">
        <v>1537</v>
      </c>
      <c r="L3" s="178" t="s">
        <v>1540</v>
      </c>
      <c r="M3" s="178" t="s">
        <v>1541</v>
      </c>
      <c r="N3" s="178" t="s">
        <v>1540</v>
      </c>
      <c r="O3" s="178" t="s">
        <v>1537</v>
      </c>
      <c r="P3" s="178" t="s">
        <v>1539</v>
      </c>
      <c r="Q3" s="178" t="s">
        <v>1539</v>
      </c>
      <c r="R3" s="139" t="s">
        <v>1543</v>
      </c>
      <c r="T3" s="189" t="s">
        <v>1543</v>
      </c>
    </row>
    <row r="4" spans="1:23">
      <c r="A4" s="279"/>
      <c r="B4" s="181"/>
      <c r="C4" s="181"/>
      <c r="D4" s="182"/>
      <c r="E4" s="183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38" t="s">
        <v>1544</v>
      </c>
      <c r="S4" s="186">
        <v>1000</v>
      </c>
      <c r="T4" s="188" t="s">
        <v>1544</v>
      </c>
    </row>
    <row r="5" spans="1:23">
      <c r="A5" s="136">
        <v>426</v>
      </c>
      <c r="B5" s="186">
        <v>423.9</v>
      </c>
      <c r="C5" s="186">
        <v>265.10000000000002</v>
      </c>
      <c r="D5" s="215">
        <v>389.6</v>
      </c>
      <c r="E5" s="186">
        <v>531.29999999999995</v>
      </c>
      <c r="F5" s="186">
        <v>630.9</v>
      </c>
      <c r="G5" s="186">
        <v>370.9</v>
      </c>
      <c r="H5" s="186">
        <v>776.5</v>
      </c>
      <c r="I5" s="186">
        <v>533.6</v>
      </c>
      <c r="J5" s="186">
        <v>423.6</v>
      </c>
      <c r="K5" s="186">
        <v>423.2</v>
      </c>
      <c r="L5" s="186">
        <v>546.70000000000005</v>
      </c>
      <c r="M5" s="216">
        <v>472.1</v>
      </c>
      <c r="N5" s="216">
        <v>405.3</v>
      </c>
      <c r="O5" s="216">
        <v>452.9</v>
      </c>
      <c r="P5" s="216">
        <v>786.9</v>
      </c>
      <c r="Q5" s="135">
        <f t="shared" ref="Q5:Q36" si="0">P5*0.7</f>
        <v>550.82999999999993</v>
      </c>
      <c r="R5" s="190">
        <v>0.4</v>
      </c>
      <c r="S5" s="216">
        <v>778.3</v>
      </c>
      <c r="T5" s="190">
        <v>0.4</v>
      </c>
      <c r="V5" s="8">
        <v>5.0000000000000001E-3</v>
      </c>
      <c r="W5" s="217">
        <f>V5/100</f>
        <v>5.0000000000000002E-5</v>
      </c>
    </row>
    <row r="6" spans="1:23">
      <c r="A6" s="136">
        <v>427</v>
      </c>
      <c r="B6" s="186">
        <v>424.8</v>
      </c>
      <c r="C6" s="186">
        <v>265.7</v>
      </c>
      <c r="D6" s="215">
        <v>390.5</v>
      </c>
      <c r="E6" s="186">
        <v>532.79999999999995</v>
      </c>
      <c r="F6" s="186">
        <v>632.4</v>
      </c>
      <c r="G6" s="186">
        <v>371.9</v>
      </c>
      <c r="H6" s="186">
        <v>778</v>
      </c>
      <c r="I6" s="186">
        <v>535</v>
      </c>
      <c r="J6" s="186">
        <v>424.4</v>
      </c>
      <c r="K6" s="186">
        <v>423.8</v>
      </c>
      <c r="L6" s="186">
        <v>547.9</v>
      </c>
      <c r="M6" s="216">
        <v>473.4</v>
      </c>
      <c r="N6" s="216">
        <v>406.2</v>
      </c>
      <c r="O6" s="216">
        <v>454</v>
      </c>
      <c r="P6" s="216">
        <v>789.1</v>
      </c>
      <c r="Q6" s="135">
        <f t="shared" si="0"/>
        <v>552.37</v>
      </c>
      <c r="R6" s="190">
        <v>0.39500000000000002</v>
      </c>
      <c r="S6" s="216">
        <v>779.7</v>
      </c>
      <c r="T6" s="190">
        <v>0.39500000000000002</v>
      </c>
      <c r="V6" s="8">
        <v>7.0000000000000001E-3</v>
      </c>
      <c r="W6" s="217">
        <f t="shared" ref="W6:W69" si="1">V6/100</f>
        <v>7.0000000000000007E-5</v>
      </c>
    </row>
    <row r="7" spans="1:23">
      <c r="A7" s="136">
        <v>428</v>
      </c>
      <c r="B7" s="186">
        <v>425.7</v>
      </c>
      <c r="C7" s="186">
        <v>266.3</v>
      </c>
      <c r="D7" s="215">
        <v>391.2</v>
      </c>
      <c r="E7" s="186">
        <v>534.1</v>
      </c>
      <c r="F7" s="186">
        <v>633.5</v>
      </c>
      <c r="G7" s="186">
        <v>372.5</v>
      </c>
      <c r="H7" s="186">
        <v>779.6</v>
      </c>
      <c r="I7" s="186">
        <v>535.79999999999995</v>
      </c>
      <c r="J7" s="186">
        <v>425.3</v>
      </c>
      <c r="K7" s="186">
        <v>424.6</v>
      </c>
      <c r="L7" s="186">
        <v>549.29999999999995</v>
      </c>
      <c r="M7" s="216">
        <v>473.9</v>
      </c>
      <c r="N7" s="216">
        <v>406.9</v>
      </c>
      <c r="O7" s="216">
        <v>454.9</v>
      </c>
      <c r="P7" s="216">
        <v>790.7</v>
      </c>
      <c r="Q7" s="135">
        <f t="shared" si="0"/>
        <v>553.49</v>
      </c>
      <c r="R7" s="190">
        <v>0.39</v>
      </c>
      <c r="S7" s="216">
        <v>781.6</v>
      </c>
      <c r="T7" s="190">
        <v>0.39</v>
      </c>
      <c r="V7" s="8">
        <v>0.01</v>
      </c>
      <c r="W7" s="217">
        <f t="shared" si="1"/>
        <v>1E-4</v>
      </c>
    </row>
    <row r="8" spans="1:23">
      <c r="A8" s="136">
        <v>429</v>
      </c>
      <c r="B8" s="186">
        <v>426.8</v>
      </c>
      <c r="C8" s="186">
        <v>267</v>
      </c>
      <c r="D8" s="215">
        <v>392.3</v>
      </c>
      <c r="E8" s="186">
        <v>535.70000000000005</v>
      </c>
      <c r="F8" s="186">
        <v>635</v>
      </c>
      <c r="G8" s="186">
        <v>373.6</v>
      </c>
      <c r="H8" s="186">
        <v>781.7</v>
      </c>
      <c r="I8" s="186">
        <v>537.4</v>
      </c>
      <c r="J8" s="186">
        <v>426.4</v>
      </c>
      <c r="K8" s="186">
        <v>425.4</v>
      </c>
      <c r="L8" s="186">
        <v>550.29999999999995</v>
      </c>
      <c r="M8" s="216">
        <v>475.3</v>
      </c>
      <c r="N8" s="216">
        <v>407.8</v>
      </c>
      <c r="O8" s="216">
        <v>456.6</v>
      </c>
      <c r="P8" s="216">
        <v>793</v>
      </c>
      <c r="Q8" s="135">
        <f t="shared" si="0"/>
        <v>555.09999999999991</v>
      </c>
      <c r="R8" s="190">
        <v>0.38500000000000001</v>
      </c>
      <c r="S8" s="216">
        <v>783.6</v>
      </c>
      <c r="T8" s="190">
        <v>0.38500000000000001</v>
      </c>
      <c r="V8" s="8">
        <v>0.03</v>
      </c>
      <c r="W8" s="217">
        <f t="shared" si="1"/>
        <v>2.9999999999999997E-4</v>
      </c>
    </row>
    <row r="9" spans="1:23">
      <c r="A9" s="136">
        <v>430</v>
      </c>
      <c r="B9" s="186">
        <v>428</v>
      </c>
      <c r="C9" s="186">
        <v>267.60000000000002</v>
      </c>
      <c r="D9" s="215">
        <v>393.2</v>
      </c>
      <c r="E9" s="186">
        <v>536.70000000000005</v>
      </c>
      <c r="F9" s="186">
        <v>636.4</v>
      </c>
      <c r="G9" s="186">
        <v>374.5</v>
      </c>
      <c r="H9" s="186">
        <v>783.6</v>
      </c>
      <c r="I9" s="186">
        <v>538.79999999999995</v>
      </c>
      <c r="J9" s="186">
        <v>427.8</v>
      </c>
      <c r="K9" s="186">
        <v>426.6</v>
      </c>
      <c r="L9" s="186">
        <v>551.79999999999995</v>
      </c>
      <c r="M9" s="216">
        <v>476.2</v>
      </c>
      <c r="N9" s="216">
        <v>408.7</v>
      </c>
      <c r="O9" s="216">
        <v>457.2</v>
      </c>
      <c r="P9" s="216">
        <v>794.6</v>
      </c>
      <c r="Q9" s="135">
        <f t="shared" si="0"/>
        <v>556.22</v>
      </c>
      <c r="R9" s="190">
        <v>0.38</v>
      </c>
      <c r="S9" s="216">
        <v>785.5</v>
      </c>
      <c r="T9" s="190">
        <v>0.38</v>
      </c>
      <c r="V9" s="8">
        <v>0.05</v>
      </c>
      <c r="W9" s="217">
        <f t="shared" si="1"/>
        <v>5.0000000000000001E-4</v>
      </c>
    </row>
    <row r="10" spans="1:23">
      <c r="A10" s="136">
        <v>431</v>
      </c>
      <c r="B10" s="186">
        <v>429.1</v>
      </c>
      <c r="C10" s="186">
        <v>268.2</v>
      </c>
      <c r="D10" s="215">
        <v>394.5</v>
      </c>
      <c r="E10" s="186">
        <v>538.1</v>
      </c>
      <c r="F10" s="186">
        <v>637.9</v>
      </c>
      <c r="G10" s="186">
        <v>375.8</v>
      </c>
      <c r="H10" s="186">
        <v>786.3</v>
      </c>
      <c r="I10" s="186">
        <v>540</v>
      </c>
      <c r="J10" s="186">
        <v>428.7</v>
      </c>
      <c r="K10" s="186">
        <v>428</v>
      </c>
      <c r="L10" s="186">
        <v>553.1</v>
      </c>
      <c r="M10" s="216">
        <v>477.4</v>
      </c>
      <c r="N10" s="216">
        <v>409.5</v>
      </c>
      <c r="O10" s="216">
        <v>458.1</v>
      </c>
      <c r="P10" s="216">
        <v>796.7</v>
      </c>
      <c r="Q10" s="135">
        <f t="shared" si="0"/>
        <v>557.68999999999994</v>
      </c>
      <c r="R10" s="190">
        <v>0.375</v>
      </c>
      <c r="S10" s="216">
        <v>787.5</v>
      </c>
      <c r="T10" s="190">
        <v>0.375</v>
      </c>
      <c r="V10" s="8">
        <v>7.0000000000000007E-2</v>
      </c>
      <c r="W10" s="217">
        <f t="shared" si="1"/>
        <v>7.000000000000001E-4</v>
      </c>
    </row>
    <row r="11" spans="1:23">
      <c r="A11" s="136">
        <v>432</v>
      </c>
      <c r="B11" s="186">
        <v>430.5</v>
      </c>
      <c r="C11" s="186">
        <v>269</v>
      </c>
      <c r="D11" s="215">
        <v>395.2</v>
      </c>
      <c r="E11" s="186">
        <v>539.20000000000005</v>
      </c>
      <c r="F11" s="186">
        <v>639.29999999999995</v>
      </c>
      <c r="G11" s="186">
        <v>376.4</v>
      </c>
      <c r="H11" s="186">
        <v>787.5</v>
      </c>
      <c r="I11" s="186">
        <v>541.20000000000005</v>
      </c>
      <c r="J11" s="186">
        <v>429.8</v>
      </c>
      <c r="K11" s="186">
        <v>429</v>
      </c>
      <c r="L11" s="186">
        <v>554.5</v>
      </c>
      <c r="M11" s="216">
        <v>478.8</v>
      </c>
      <c r="N11" s="216">
        <v>410.3</v>
      </c>
      <c r="O11" s="216">
        <v>459</v>
      </c>
      <c r="P11" s="216">
        <v>798.7</v>
      </c>
      <c r="Q11" s="135">
        <f t="shared" si="0"/>
        <v>559.09</v>
      </c>
      <c r="R11" s="190">
        <v>0.37</v>
      </c>
      <c r="S11" s="216">
        <v>789.7</v>
      </c>
      <c r="T11" s="190">
        <v>0.37</v>
      </c>
      <c r="V11" s="8">
        <v>0.1</v>
      </c>
      <c r="W11" s="217">
        <f t="shared" si="1"/>
        <v>1E-3</v>
      </c>
    </row>
    <row r="12" spans="1:23">
      <c r="A12" s="136">
        <v>433</v>
      </c>
      <c r="B12" s="186">
        <v>431.6</v>
      </c>
      <c r="C12" s="186">
        <v>269.60000000000002</v>
      </c>
      <c r="D12" s="215">
        <v>396.2</v>
      </c>
      <c r="E12" s="186">
        <v>540.79999999999995</v>
      </c>
      <c r="F12" s="186">
        <v>641.20000000000005</v>
      </c>
      <c r="G12" s="186">
        <v>377.2</v>
      </c>
      <c r="H12" s="186">
        <v>789.5</v>
      </c>
      <c r="I12" s="186">
        <v>542.6</v>
      </c>
      <c r="J12" s="186">
        <v>430.8</v>
      </c>
      <c r="K12" s="186">
        <v>429.9</v>
      </c>
      <c r="L12" s="186">
        <v>556</v>
      </c>
      <c r="M12" s="216">
        <v>479.8</v>
      </c>
      <c r="N12" s="216">
        <v>411.3</v>
      </c>
      <c r="O12" s="216">
        <v>460.7</v>
      </c>
      <c r="P12" s="216">
        <v>800.7</v>
      </c>
      <c r="Q12" s="135">
        <f t="shared" si="0"/>
        <v>560.49</v>
      </c>
      <c r="R12" s="190">
        <v>0.36499999999999999</v>
      </c>
      <c r="S12" s="216">
        <v>791.7</v>
      </c>
      <c r="T12" s="190">
        <v>0.36499999999999999</v>
      </c>
      <c r="V12" s="8">
        <v>0.13</v>
      </c>
      <c r="W12" s="217">
        <f t="shared" si="1"/>
        <v>1.2999999999999999E-3</v>
      </c>
    </row>
    <row r="13" spans="1:23">
      <c r="A13" s="136">
        <v>434</v>
      </c>
      <c r="B13" s="186">
        <v>432.3</v>
      </c>
      <c r="C13" s="186">
        <v>270.10000000000002</v>
      </c>
      <c r="D13" s="215">
        <v>396.8</v>
      </c>
      <c r="E13" s="186">
        <v>542</v>
      </c>
      <c r="F13" s="186">
        <v>642.70000000000005</v>
      </c>
      <c r="G13" s="186">
        <v>377.9</v>
      </c>
      <c r="H13" s="186">
        <v>790.9</v>
      </c>
      <c r="I13" s="186">
        <v>543.70000000000005</v>
      </c>
      <c r="J13" s="186">
        <v>431.6</v>
      </c>
      <c r="K13" s="186">
        <v>430.8</v>
      </c>
      <c r="L13" s="186">
        <v>557.29999999999995</v>
      </c>
      <c r="M13" s="216">
        <v>480.6</v>
      </c>
      <c r="N13" s="216">
        <v>412.1</v>
      </c>
      <c r="O13" s="216">
        <v>461.4</v>
      </c>
      <c r="P13" s="216">
        <v>802</v>
      </c>
      <c r="Q13" s="135">
        <f t="shared" si="0"/>
        <v>561.4</v>
      </c>
      <c r="R13" s="190">
        <v>0.36</v>
      </c>
      <c r="S13" s="216">
        <v>793</v>
      </c>
      <c r="T13" s="190">
        <v>0.36</v>
      </c>
      <c r="V13" s="8">
        <v>0.16</v>
      </c>
      <c r="W13" s="217">
        <f t="shared" si="1"/>
        <v>1.6000000000000001E-3</v>
      </c>
    </row>
    <row r="14" spans="1:23">
      <c r="A14" s="136">
        <v>435</v>
      </c>
      <c r="B14" s="186">
        <v>432.8</v>
      </c>
      <c r="C14" s="186">
        <v>270.60000000000002</v>
      </c>
      <c r="D14" s="215">
        <v>397.4</v>
      </c>
      <c r="E14" s="186">
        <v>542.6</v>
      </c>
      <c r="F14" s="186">
        <v>643.1</v>
      </c>
      <c r="G14" s="186">
        <v>378.5</v>
      </c>
      <c r="H14" s="186">
        <v>793</v>
      </c>
      <c r="I14" s="186">
        <v>544.6</v>
      </c>
      <c r="J14" s="186">
        <v>432.2</v>
      </c>
      <c r="K14" s="186">
        <v>431.3</v>
      </c>
      <c r="L14" s="186">
        <v>557.79999999999995</v>
      </c>
      <c r="M14" s="216">
        <v>481</v>
      </c>
      <c r="N14" s="216">
        <v>412.5</v>
      </c>
      <c r="O14" s="216">
        <v>461.7</v>
      </c>
      <c r="P14" s="216">
        <v>802.9</v>
      </c>
      <c r="Q14" s="135">
        <f t="shared" si="0"/>
        <v>562.03</v>
      </c>
      <c r="R14" s="190">
        <v>0.35499999999999998</v>
      </c>
      <c r="S14" s="216">
        <v>794.9</v>
      </c>
      <c r="T14" s="190">
        <v>0.35499999999999998</v>
      </c>
      <c r="V14" s="8">
        <v>0.2</v>
      </c>
      <c r="W14" s="217">
        <f t="shared" si="1"/>
        <v>2E-3</v>
      </c>
    </row>
    <row r="15" spans="1:23">
      <c r="A15" s="136">
        <v>436</v>
      </c>
      <c r="B15" s="186">
        <v>433.7</v>
      </c>
      <c r="C15" s="186">
        <v>271.3</v>
      </c>
      <c r="D15" s="215">
        <v>398.7</v>
      </c>
      <c r="E15" s="186">
        <v>543.9</v>
      </c>
      <c r="F15" s="186">
        <v>644.5</v>
      </c>
      <c r="G15" s="186">
        <v>379.4</v>
      </c>
      <c r="H15" s="186">
        <v>795</v>
      </c>
      <c r="I15" s="186">
        <v>545.4</v>
      </c>
      <c r="J15" s="186">
        <v>433.7</v>
      </c>
      <c r="K15" s="186">
        <v>432.9</v>
      </c>
      <c r="L15" s="186">
        <v>559.1</v>
      </c>
      <c r="M15" s="216">
        <v>482.1</v>
      </c>
      <c r="N15" s="216">
        <v>413.1</v>
      </c>
      <c r="O15" s="216">
        <v>462.8</v>
      </c>
      <c r="P15" s="216">
        <v>804.5</v>
      </c>
      <c r="Q15" s="135">
        <f t="shared" si="0"/>
        <v>563.15</v>
      </c>
      <c r="R15" s="190">
        <v>0.35</v>
      </c>
      <c r="S15" s="216">
        <v>796.9</v>
      </c>
      <c r="T15" s="190">
        <v>0.35</v>
      </c>
      <c r="V15" s="8">
        <v>0.23</v>
      </c>
      <c r="W15" s="217">
        <f t="shared" si="1"/>
        <v>2.3E-3</v>
      </c>
    </row>
    <row r="16" spans="1:23">
      <c r="A16" s="136">
        <v>437</v>
      </c>
      <c r="B16" s="186">
        <v>435.4</v>
      </c>
      <c r="C16" s="186">
        <v>272.10000000000002</v>
      </c>
      <c r="D16" s="215">
        <v>400.1</v>
      </c>
      <c r="E16" s="186">
        <v>545.20000000000005</v>
      </c>
      <c r="F16" s="186">
        <v>646.20000000000005</v>
      </c>
      <c r="G16" s="186">
        <v>380.6</v>
      </c>
      <c r="H16" s="186">
        <v>797.5</v>
      </c>
      <c r="I16" s="186">
        <v>546.70000000000005</v>
      </c>
      <c r="J16" s="186">
        <v>434.9</v>
      </c>
      <c r="K16" s="186">
        <v>434.5</v>
      </c>
      <c r="L16" s="186">
        <v>561.1</v>
      </c>
      <c r="M16" s="216">
        <v>483.6</v>
      </c>
      <c r="N16" s="216">
        <v>413.8</v>
      </c>
      <c r="O16" s="216">
        <v>464</v>
      </c>
      <c r="P16" s="216">
        <v>806.6</v>
      </c>
      <c r="Q16" s="135">
        <f t="shared" si="0"/>
        <v>564.62</v>
      </c>
      <c r="R16" s="190">
        <v>0.34499999999999997</v>
      </c>
      <c r="S16" s="216">
        <v>799.1</v>
      </c>
      <c r="T16" s="190">
        <v>0.34499999999999997</v>
      </c>
      <c r="V16" s="8">
        <v>0.27</v>
      </c>
      <c r="W16" s="217">
        <f t="shared" si="1"/>
        <v>2.7000000000000001E-3</v>
      </c>
    </row>
    <row r="17" spans="1:23">
      <c r="A17" s="136">
        <v>438</v>
      </c>
      <c r="B17" s="186">
        <v>436.1</v>
      </c>
      <c r="C17" s="186">
        <v>272.89999999999998</v>
      </c>
      <c r="D17" s="215">
        <v>401</v>
      </c>
      <c r="E17" s="186">
        <v>546.1</v>
      </c>
      <c r="F17" s="186">
        <v>647.20000000000005</v>
      </c>
      <c r="G17" s="186">
        <v>381.5</v>
      </c>
      <c r="H17" s="186">
        <v>799.1</v>
      </c>
      <c r="I17" s="186">
        <v>547.70000000000005</v>
      </c>
      <c r="J17" s="186">
        <v>436.2</v>
      </c>
      <c r="K17" s="186">
        <v>435.7</v>
      </c>
      <c r="L17" s="186">
        <v>562.9</v>
      </c>
      <c r="M17" s="216">
        <v>484.2</v>
      </c>
      <c r="N17" s="216">
        <v>414.4</v>
      </c>
      <c r="O17" s="216">
        <v>464.7</v>
      </c>
      <c r="P17" s="216">
        <v>807.7</v>
      </c>
      <c r="Q17" s="135">
        <f t="shared" si="0"/>
        <v>565.39</v>
      </c>
      <c r="R17" s="190">
        <v>0.34</v>
      </c>
      <c r="S17" s="216">
        <v>800.8</v>
      </c>
      <c r="T17" s="190">
        <v>0.34</v>
      </c>
      <c r="V17" s="8">
        <v>0.3</v>
      </c>
      <c r="W17" s="217">
        <f t="shared" si="1"/>
        <v>3.0000000000000001E-3</v>
      </c>
    </row>
    <row r="18" spans="1:23">
      <c r="A18" s="136">
        <v>439</v>
      </c>
      <c r="B18" s="186">
        <v>437.3</v>
      </c>
      <c r="C18" s="186">
        <v>273.5</v>
      </c>
      <c r="D18" s="215">
        <v>401.8</v>
      </c>
      <c r="E18" s="186">
        <v>547.4</v>
      </c>
      <c r="F18" s="186">
        <v>649</v>
      </c>
      <c r="G18" s="186">
        <v>382.7</v>
      </c>
      <c r="H18" s="186">
        <v>800.6</v>
      </c>
      <c r="I18" s="186">
        <v>548.5</v>
      </c>
      <c r="J18" s="186">
        <v>436.9</v>
      </c>
      <c r="K18" s="186">
        <v>436.7</v>
      </c>
      <c r="L18" s="186">
        <v>563.79999999999995</v>
      </c>
      <c r="M18" s="216">
        <v>485.3</v>
      </c>
      <c r="N18" s="216">
        <v>414.8</v>
      </c>
      <c r="O18" s="216">
        <v>465.5</v>
      </c>
      <c r="P18" s="216">
        <v>809.4</v>
      </c>
      <c r="Q18" s="135">
        <f t="shared" si="0"/>
        <v>566.57999999999993</v>
      </c>
      <c r="R18" s="190">
        <v>0.33500000000000002</v>
      </c>
      <c r="S18" s="216">
        <v>802.5</v>
      </c>
      <c r="T18" s="190">
        <v>0.33500000000000002</v>
      </c>
      <c r="V18" s="8">
        <v>0.4</v>
      </c>
      <c r="W18" s="217">
        <f t="shared" si="1"/>
        <v>4.0000000000000001E-3</v>
      </c>
    </row>
    <row r="19" spans="1:23">
      <c r="A19" s="136">
        <v>440</v>
      </c>
      <c r="B19" s="186">
        <v>438</v>
      </c>
      <c r="C19" s="186">
        <v>274.10000000000002</v>
      </c>
      <c r="D19" s="215">
        <v>402.8</v>
      </c>
      <c r="E19" s="186">
        <v>548.20000000000005</v>
      </c>
      <c r="F19" s="186">
        <v>650.4</v>
      </c>
      <c r="G19" s="186">
        <v>383.6</v>
      </c>
      <c r="H19" s="186">
        <v>802.5</v>
      </c>
      <c r="I19" s="186">
        <v>549.4</v>
      </c>
      <c r="J19" s="186">
        <v>438</v>
      </c>
      <c r="K19" s="186">
        <v>437.7</v>
      </c>
      <c r="L19" s="186">
        <v>564.5</v>
      </c>
      <c r="M19" s="216">
        <v>486.1</v>
      </c>
      <c r="N19" s="216">
        <v>415.6</v>
      </c>
      <c r="O19" s="216">
        <v>466.4</v>
      </c>
      <c r="P19" s="216">
        <v>810.7</v>
      </c>
      <c r="Q19" s="135">
        <f t="shared" si="0"/>
        <v>567.49</v>
      </c>
      <c r="R19" s="190">
        <v>0.33</v>
      </c>
      <c r="S19" s="216">
        <v>804.4</v>
      </c>
      <c r="T19" s="190">
        <v>0.33</v>
      </c>
      <c r="V19" s="8">
        <v>0.5</v>
      </c>
      <c r="W19" s="217">
        <f t="shared" si="1"/>
        <v>5.0000000000000001E-3</v>
      </c>
    </row>
    <row r="20" spans="1:23">
      <c r="A20" s="136">
        <v>441</v>
      </c>
      <c r="B20" s="186">
        <v>439.5</v>
      </c>
      <c r="C20" s="186">
        <v>274.5</v>
      </c>
      <c r="D20" s="215">
        <v>403.4</v>
      </c>
      <c r="E20" s="186">
        <v>549.29999999999995</v>
      </c>
      <c r="F20" s="186">
        <v>651.6</v>
      </c>
      <c r="G20" s="186">
        <v>384.6</v>
      </c>
      <c r="H20" s="186">
        <v>803.8</v>
      </c>
      <c r="I20" s="186">
        <v>550.5</v>
      </c>
      <c r="J20" s="186">
        <v>439.3</v>
      </c>
      <c r="K20" s="186">
        <v>438.7</v>
      </c>
      <c r="L20" s="186">
        <v>565.5</v>
      </c>
      <c r="M20" s="216">
        <v>487</v>
      </c>
      <c r="N20" s="216">
        <v>416.3</v>
      </c>
      <c r="O20" s="216">
        <v>467.1</v>
      </c>
      <c r="P20" s="216">
        <v>812.4</v>
      </c>
      <c r="Q20" s="135">
        <f t="shared" si="0"/>
        <v>568.67999999999995</v>
      </c>
      <c r="R20" s="190">
        <v>0.32500000000000001</v>
      </c>
      <c r="S20" s="216">
        <v>806.3</v>
      </c>
      <c r="T20" s="190">
        <v>0.32500000000000001</v>
      </c>
      <c r="V20" s="8">
        <v>0.6</v>
      </c>
      <c r="W20" s="217">
        <f t="shared" si="1"/>
        <v>6.0000000000000001E-3</v>
      </c>
    </row>
    <row r="21" spans="1:23">
      <c r="A21" s="136">
        <v>442</v>
      </c>
      <c r="B21" s="186">
        <v>440.6</v>
      </c>
      <c r="C21" s="186">
        <v>275.10000000000002</v>
      </c>
      <c r="D21" s="215">
        <v>404.2</v>
      </c>
      <c r="E21" s="186">
        <v>550.5</v>
      </c>
      <c r="F21" s="186">
        <v>653</v>
      </c>
      <c r="G21" s="186">
        <v>385.3</v>
      </c>
      <c r="H21" s="186">
        <v>805.6</v>
      </c>
      <c r="I21" s="186">
        <v>551.70000000000005</v>
      </c>
      <c r="J21" s="186">
        <v>440.1</v>
      </c>
      <c r="K21" s="186">
        <v>439.7</v>
      </c>
      <c r="L21" s="186">
        <v>567.1</v>
      </c>
      <c r="M21" s="216">
        <v>488</v>
      </c>
      <c r="N21" s="216">
        <v>417.2</v>
      </c>
      <c r="O21" s="216">
        <v>468.2</v>
      </c>
      <c r="P21" s="216">
        <v>814.6</v>
      </c>
      <c r="Q21" s="135">
        <f t="shared" si="0"/>
        <v>570.22</v>
      </c>
      <c r="R21" s="190">
        <v>0.32</v>
      </c>
      <c r="S21" s="216">
        <v>808</v>
      </c>
      <c r="T21" s="190">
        <v>0.32</v>
      </c>
      <c r="V21" s="8">
        <v>0.8</v>
      </c>
      <c r="W21" s="217">
        <f t="shared" si="1"/>
        <v>8.0000000000000002E-3</v>
      </c>
    </row>
    <row r="22" spans="1:23">
      <c r="A22" s="136">
        <v>443</v>
      </c>
      <c r="B22" s="186">
        <v>442.1</v>
      </c>
      <c r="C22" s="186">
        <v>275.89999999999998</v>
      </c>
      <c r="D22" s="215">
        <v>405.3</v>
      </c>
      <c r="E22" s="186">
        <v>551.70000000000005</v>
      </c>
      <c r="F22" s="186">
        <v>654.1</v>
      </c>
      <c r="G22" s="186">
        <v>386.1</v>
      </c>
      <c r="H22" s="186">
        <v>807.8</v>
      </c>
      <c r="I22" s="186">
        <v>552.79999999999995</v>
      </c>
      <c r="J22" s="186">
        <v>440.7</v>
      </c>
      <c r="K22" s="186">
        <v>440.8</v>
      </c>
      <c r="L22" s="186">
        <v>568.29999999999995</v>
      </c>
      <c r="M22" s="216">
        <v>489.4</v>
      </c>
      <c r="N22" s="216">
        <v>418</v>
      </c>
      <c r="O22" s="216">
        <v>469.2</v>
      </c>
      <c r="P22" s="216">
        <v>816.8</v>
      </c>
      <c r="Q22" s="135">
        <f t="shared" si="0"/>
        <v>571.75999999999988</v>
      </c>
      <c r="R22" s="190">
        <v>0.315</v>
      </c>
      <c r="S22" s="216">
        <v>809.6</v>
      </c>
      <c r="T22" s="190">
        <v>0.315</v>
      </c>
      <c r="V22" s="8">
        <v>1</v>
      </c>
      <c r="W22" s="217">
        <f t="shared" si="1"/>
        <v>0.01</v>
      </c>
    </row>
    <row r="23" spans="1:23">
      <c r="A23" s="136">
        <v>444</v>
      </c>
      <c r="B23" s="186">
        <v>443.1</v>
      </c>
      <c r="C23" s="186">
        <v>276.60000000000002</v>
      </c>
      <c r="D23" s="215">
        <v>406.3</v>
      </c>
      <c r="E23" s="186">
        <v>553.29999999999995</v>
      </c>
      <c r="F23" s="186">
        <v>655.7</v>
      </c>
      <c r="G23" s="186">
        <v>387.1</v>
      </c>
      <c r="H23" s="186">
        <v>809.9</v>
      </c>
      <c r="I23" s="186">
        <v>554.29999999999995</v>
      </c>
      <c r="J23" s="186">
        <v>442.2</v>
      </c>
      <c r="K23" s="186">
        <v>442</v>
      </c>
      <c r="L23" s="186">
        <v>569.6</v>
      </c>
      <c r="M23" s="216">
        <v>490.5</v>
      </c>
      <c r="N23" s="216">
        <v>418.9</v>
      </c>
      <c r="O23" s="216">
        <v>470.4</v>
      </c>
      <c r="P23" s="216">
        <v>818.5</v>
      </c>
      <c r="Q23" s="135">
        <f t="shared" si="0"/>
        <v>572.94999999999993</v>
      </c>
      <c r="R23" s="190">
        <v>0.31</v>
      </c>
      <c r="S23" s="216">
        <v>811.3</v>
      </c>
      <c r="T23" s="190">
        <v>0.31</v>
      </c>
      <c r="V23" s="8">
        <v>1.2</v>
      </c>
      <c r="W23" s="217">
        <f t="shared" si="1"/>
        <v>1.2E-2</v>
      </c>
    </row>
    <row r="24" spans="1:23">
      <c r="A24" s="136">
        <v>445</v>
      </c>
      <c r="B24" s="186">
        <v>443.9</v>
      </c>
      <c r="C24" s="186">
        <v>277.2</v>
      </c>
      <c r="D24" s="215">
        <v>407.2</v>
      </c>
      <c r="E24" s="186">
        <v>554.29999999999995</v>
      </c>
      <c r="F24" s="186">
        <v>657.5</v>
      </c>
      <c r="G24" s="186">
        <v>388.1</v>
      </c>
      <c r="H24" s="186">
        <v>811.6</v>
      </c>
      <c r="I24" s="186">
        <v>555.4</v>
      </c>
      <c r="J24" s="186">
        <v>443</v>
      </c>
      <c r="K24" s="186">
        <v>443</v>
      </c>
      <c r="L24" s="186">
        <v>570.70000000000005</v>
      </c>
      <c r="M24" s="216">
        <v>491.3</v>
      </c>
      <c r="N24" s="216">
        <v>419.6</v>
      </c>
      <c r="O24" s="216">
        <v>471.2</v>
      </c>
      <c r="P24" s="216">
        <v>819.6</v>
      </c>
      <c r="Q24" s="135">
        <f t="shared" si="0"/>
        <v>573.72</v>
      </c>
      <c r="R24" s="190">
        <v>0.30499999999999999</v>
      </c>
      <c r="S24" s="216">
        <v>813</v>
      </c>
      <c r="T24" s="190">
        <v>0.30499999999999999</v>
      </c>
      <c r="V24" s="8">
        <v>1.4</v>
      </c>
      <c r="W24" s="217">
        <f t="shared" si="1"/>
        <v>1.3999999999999999E-2</v>
      </c>
    </row>
    <row r="25" spans="1:23">
      <c r="A25" s="136">
        <v>446</v>
      </c>
      <c r="B25" s="186">
        <v>445</v>
      </c>
      <c r="C25" s="186">
        <v>277.7</v>
      </c>
      <c r="D25" s="215">
        <v>408</v>
      </c>
      <c r="E25" s="186">
        <v>555.20000000000005</v>
      </c>
      <c r="F25" s="186">
        <v>658.5</v>
      </c>
      <c r="G25" s="186">
        <v>388.8</v>
      </c>
      <c r="H25" s="186">
        <v>813</v>
      </c>
      <c r="I25" s="186">
        <v>556.70000000000005</v>
      </c>
      <c r="J25" s="186">
        <v>443.9</v>
      </c>
      <c r="K25" s="186">
        <v>444</v>
      </c>
      <c r="L25" s="186">
        <v>571.70000000000005</v>
      </c>
      <c r="M25" s="216">
        <v>492.4</v>
      </c>
      <c r="N25" s="216">
        <v>420.2</v>
      </c>
      <c r="O25" s="216">
        <v>472.1</v>
      </c>
      <c r="P25" s="216">
        <v>821.1</v>
      </c>
      <c r="Q25" s="135">
        <f t="shared" si="0"/>
        <v>574.77</v>
      </c>
      <c r="R25" s="190">
        <v>0.3</v>
      </c>
      <c r="S25" s="216">
        <v>815</v>
      </c>
      <c r="T25" s="190">
        <v>0.3</v>
      </c>
      <c r="V25" s="8">
        <v>1.6</v>
      </c>
      <c r="W25" s="217">
        <f t="shared" si="1"/>
        <v>1.6E-2</v>
      </c>
    </row>
    <row r="26" spans="1:23">
      <c r="A26" s="136">
        <v>447</v>
      </c>
      <c r="B26" s="186">
        <v>445.9</v>
      </c>
      <c r="C26" s="186">
        <v>278</v>
      </c>
      <c r="D26" s="215">
        <v>408.5</v>
      </c>
      <c r="E26" s="186">
        <v>556.4</v>
      </c>
      <c r="F26" s="186">
        <v>659.7</v>
      </c>
      <c r="G26" s="186">
        <v>389.4</v>
      </c>
      <c r="H26" s="186">
        <v>814.3</v>
      </c>
      <c r="I26" s="186">
        <v>557.70000000000005</v>
      </c>
      <c r="J26" s="186">
        <v>444.8</v>
      </c>
      <c r="K26" s="186">
        <v>444.8</v>
      </c>
      <c r="L26" s="186">
        <v>572.79999999999995</v>
      </c>
      <c r="M26" s="216">
        <v>493.2</v>
      </c>
      <c r="N26" s="216">
        <v>420.8</v>
      </c>
      <c r="O26" s="216">
        <v>473</v>
      </c>
      <c r="P26" s="216">
        <v>822.2</v>
      </c>
      <c r="Q26" s="135">
        <f t="shared" si="0"/>
        <v>575.54</v>
      </c>
      <c r="R26" s="190">
        <v>0.29499999999999998</v>
      </c>
      <c r="S26" s="216">
        <v>817</v>
      </c>
      <c r="T26" s="190">
        <v>0.29499999999999998</v>
      </c>
      <c r="V26" s="8">
        <v>1.8</v>
      </c>
      <c r="W26" s="217">
        <f t="shared" si="1"/>
        <v>1.8000000000000002E-2</v>
      </c>
    </row>
    <row r="27" spans="1:23">
      <c r="A27" s="136">
        <v>448</v>
      </c>
      <c r="B27" s="186">
        <v>446.8</v>
      </c>
      <c r="C27" s="186">
        <v>278.8</v>
      </c>
      <c r="D27" s="215">
        <v>409.7</v>
      </c>
      <c r="E27" s="186">
        <v>557.70000000000005</v>
      </c>
      <c r="F27" s="186">
        <v>661.6</v>
      </c>
      <c r="G27" s="186">
        <v>390.4</v>
      </c>
      <c r="H27" s="186">
        <v>816.5</v>
      </c>
      <c r="I27" s="186">
        <v>558.70000000000005</v>
      </c>
      <c r="J27" s="186">
        <v>446.1</v>
      </c>
      <c r="K27" s="186">
        <v>446</v>
      </c>
      <c r="L27" s="186">
        <v>574.29999999999995</v>
      </c>
      <c r="M27" s="216">
        <v>494.4</v>
      </c>
      <c r="N27" s="216">
        <v>421.4</v>
      </c>
      <c r="O27" s="216">
        <v>474</v>
      </c>
      <c r="P27" s="216">
        <v>823.5</v>
      </c>
      <c r="Q27" s="135">
        <f t="shared" si="0"/>
        <v>576.44999999999993</v>
      </c>
      <c r="R27" s="190">
        <v>0.28999999999999998</v>
      </c>
      <c r="S27" s="216">
        <v>818.9</v>
      </c>
      <c r="T27" s="190">
        <v>0.28999999999999998</v>
      </c>
      <c r="V27" s="8">
        <v>2</v>
      </c>
      <c r="W27" s="217">
        <f t="shared" si="1"/>
        <v>0.02</v>
      </c>
    </row>
    <row r="28" spans="1:23">
      <c r="A28" s="136">
        <v>449</v>
      </c>
      <c r="B28" s="186">
        <v>448.4</v>
      </c>
      <c r="C28" s="186">
        <v>279.60000000000002</v>
      </c>
      <c r="D28" s="215">
        <v>410.8</v>
      </c>
      <c r="E28" s="186">
        <v>559.1</v>
      </c>
      <c r="F28" s="186">
        <v>663.4</v>
      </c>
      <c r="G28" s="186">
        <v>391.4</v>
      </c>
      <c r="H28" s="186">
        <v>818.6</v>
      </c>
      <c r="I28" s="186">
        <v>559.79999999999995</v>
      </c>
      <c r="J28" s="186">
        <v>447.2</v>
      </c>
      <c r="K28" s="186">
        <v>447</v>
      </c>
      <c r="L28" s="186">
        <v>576</v>
      </c>
      <c r="M28" s="216">
        <v>495.6</v>
      </c>
      <c r="N28" s="216">
        <v>422.3</v>
      </c>
      <c r="O28" s="216">
        <v>474.9</v>
      </c>
      <c r="P28" s="216">
        <v>825.3</v>
      </c>
      <c r="Q28" s="135">
        <f t="shared" si="0"/>
        <v>577.70999999999992</v>
      </c>
      <c r="R28" s="190">
        <v>0.28499999999999998</v>
      </c>
      <c r="S28" s="216">
        <v>820.9</v>
      </c>
      <c r="T28" s="190">
        <v>0.28499999999999998</v>
      </c>
      <c r="V28" s="8">
        <v>2.2999999999999998</v>
      </c>
      <c r="W28" s="217">
        <f t="shared" si="1"/>
        <v>2.3E-2</v>
      </c>
    </row>
    <row r="29" spans="1:23">
      <c r="A29" s="136">
        <v>450</v>
      </c>
      <c r="B29" s="186">
        <v>449.3</v>
      </c>
      <c r="C29" s="186">
        <v>280.39999999999998</v>
      </c>
      <c r="D29" s="215">
        <v>412</v>
      </c>
      <c r="E29" s="186">
        <v>560.20000000000005</v>
      </c>
      <c r="F29" s="186">
        <v>664.4</v>
      </c>
      <c r="G29" s="186">
        <v>392.5</v>
      </c>
      <c r="H29" s="186">
        <v>821.1</v>
      </c>
      <c r="I29" s="186">
        <v>561.29999999999995</v>
      </c>
      <c r="J29" s="186">
        <v>448.2</v>
      </c>
      <c r="K29" s="186">
        <v>448</v>
      </c>
      <c r="L29" s="186">
        <v>577.5</v>
      </c>
      <c r="M29" s="216">
        <v>496.4</v>
      </c>
      <c r="N29" s="216">
        <v>422.9</v>
      </c>
      <c r="O29" s="216">
        <v>475.8</v>
      </c>
      <c r="P29" s="216">
        <v>826.9</v>
      </c>
      <c r="Q29" s="135">
        <f t="shared" si="0"/>
        <v>578.82999999999993</v>
      </c>
      <c r="R29" s="190">
        <v>0.28000000000000003</v>
      </c>
      <c r="S29" s="216">
        <v>823.1</v>
      </c>
      <c r="T29" s="190">
        <v>0.28000000000000003</v>
      </c>
      <c r="V29" s="8">
        <v>2.5</v>
      </c>
      <c r="W29" s="217">
        <f t="shared" si="1"/>
        <v>2.5000000000000001E-2</v>
      </c>
    </row>
    <row r="30" spans="1:23">
      <c r="A30" s="136">
        <v>451</v>
      </c>
      <c r="B30" s="186">
        <v>450.1</v>
      </c>
      <c r="C30" s="186">
        <v>280.89999999999998</v>
      </c>
      <c r="D30" s="215">
        <v>412.7</v>
      </c>
      <c r="E30" s="186">
        <v>561.1</v>
      </c>
      <c r="F30" s="186">
        <v>665.6</v>
      </c>
      <c r="G30" s="186">
        <v>393.3</v>
      </c>
      <c r="H30" s="186">
        <v>822.8</v>
      </c>
      <c r="I30" s="186">
        <v>561.9</v>
      </c>
      <c r="J30" s="186">
        <v>448.9</v>
      </c>
      <c r="K30" s="186">
        <v>449</v>
      </c>
      <c r="L30" s="186">
        <v>578.5</v>
      </c>
      <c r="M30" s="216">
        <v>497</v>
      </c>
      <c r="N30" s="216">
        <v>423.4</v>
      </c>
      <c r="O30" s="216">
        <v>476.5</v>
      </c>
      <c r="P30" s="216">
        <v>828</v>
      </c>
      <c r="Q30" s="135">
        <f t="shared" si="0"/>
        <v>579.59999999999991</v>
      </c>
      <c r="R30" s="190">
        <v>0.27500000000000002</v>
      </c>
      <c r="S30" s="216">
        <v>824.5</v>
      </c>
      <c r="T30" s="190">
        <v>0.27500000000000002</v>
      </c>
      <c r="V30" s="8">
        <v>2.7</v>
      </c>
      <c r="W30" s="217">
        <f t="shared" si="1"/>
        <v>2.7000000000000003E-2</v>
      </c>
    </row>
    <row r="31" spans="1:23">
      <c r="A31" s="136">
        <v>452</v>
      </c>
      <c r="B31" s="186">
        <v>451.3</v>
      </c>
      <c r="C31" s="186">
        <v>281.60000000000002</v>
      </c>
      <c r="D31" s="215">
        <v>413.8</v>
      </c>
      <c r="E31" s="186">
        <v>562.20000000000005</v>
      </c>
      <c r="F31" s="186">
        <v>667</v>
      </c>
      <c r="G31" s="186">
        <v>394.2</v>
      </c>
      <c r="H31" s="186">
        <v>824.5</v>
      </c>
      <c r="I31" s="186">
        <v>563</v>
      </c>
      <c r="J31" s="186">
        <v>449.9</v>
      </c>
      <c r="K31" s="186">
        <v>450.1</v>
      </c>
      <c r="L31" s="186">
        <v>579.79999999999995</v>
      </c>
      <c r="M31" s="216">
        <v>498.1</v>
      </c>
      <c r="N31" s="216">
        <v>424.1</v>
      </c>
      <c r="O31" s="216">
        <v>477.4</v>
      </c>
      <c r="P31" s="216">
        <v>830</v>
      </c>
      <c r="Q31" s="135">
        <f t="shared" si="0"/>
        <v>581</v>
      </c>
      <c r="R31" s="190">
        <v>0.27</v>
      </c>
      <c r="S31" s="216">
        <v>826.2</v>
      </c>
      <c r="T31" s="190">
        <v>0.27</v>
      </c>
      <c r="V31" s="8">
        <v>3</v>
      </c>
      <c r="W31" s="217">
        <f t="shared" si="1"/>
        <v>0.03</v>
      </c>
    </row>
    <row r="32" spans="1:23">
      <c r="A32" s="136">
        <v>453</v>
      </c>
      <c r="B32" s="186">
        <v>452.1</v>
      </c>
      <c r="C32" s="186">
        <v>282.10000000000002</v>
      </c>
      <c r="D32" s="215">
        <v>414.5</v>
      </c>
      <c r="E32" s="186">
        <v>563</v>
      </c>
      <c r="F32" s="186">
        <v>667.8</v>
      </c>
      <c r="G32" s="186">
        <v>394.9</v>
      </c>
      <c r="H32" s="186">
        <v>825.9</v>
      </c>
      <c r="I32" s="186">
        <v>564</v>
      </c>
      <c r="J32" s="186">
        <v>450.9</v>
      </c>
      <c r="K32" s="186">
        <v>450.9</v>
      </c>
      <c r="L32" s="186">
        <v>581.1</v>
      </c>
      <c r="M32" s="216">
        <v>499</v>
      </c>
      <c r="N32" s="216">
        <v>424.8</v>
      </c>
      <c r="O32" s="216">
        <v>478</v>
      </c>
      <c r="P32" s="216">
        <v>831</v>
      </c>
      <c r="Q32" s="135">
        <f t="shared" si="0"/>
        <v>581.69999999999993</v>
      </c>
      <c r="R32" s="190">
        <v>0.26500000000000001</v>
      </c>
      <c r="S32" s="216">
        <v>827.6</v>
      </c>
      <c r="T32" s="190">
        <v>0.26500000000000001</v>
      </c>
      <c r="V32" s="8">
        <v>3.3</v>
      </c>
      <c r="W32" s="217">
        <f t="shared" si="1"/>
        <v>3.3000000000000002E-2</v>
      </c>
    </row>
    <row r="33" spans="1:23">
      <c r="A33" s="136">
        <v>454</v>
      </c>
      <c r="B33" s="186">
        <v>453.4</v>
      </c>
      <c r="C33" s="186">
        <v>282.8</v>
      </c>
      <c r="D33" s="215">
        <v>415.5</v>
      </c>
      <c r="E33" s="186">
        <v>564.4</v>
      </c>
      <c r="F33" s="186">
        <v>669.7</v>
      </c>
      <c r="G33" s="186">
        <v>396.1</v>
      </c>
      <c r="H33" s="186">
        <v>828.1</v>
      </c>
      <c r="I33" s="186">
        <v>565.1</v>
      </c>
      <c r="J33" s="186">
        <v>452.1</v>
      </c>
      <c r="K33" s="186">
        <v>452.1</v>
      </c>
      <c r="L33" s="186">
        <v>582.29999999999995</v>
      </c>
      <c r="M33" s="216">
        <v>500.4</v>
      </c>
      <c r="N33" s="216">
        <v>425.8</v>
      </c>
      <c r="O33" s="216">
        <v>478.9</v>
      </c>
      <c r="P33" s="216">
        <v>832.8</v>
      </c>
      <c r="Q33" s="135">
        <f t="shared" si="0"/>
        <v>582.95999999999992</v>
      </c>
      <c r="R33" s="190">
        <v>0.26</v>
      </c>
      <c r="S33" s="216">
        <v>829.8</v>
      </c>
      <c r="T33" s="190">
        <v>0.26</v>
      </c>
      <c r="V33" s="8">
        <v>3.5</v>
      </c>
      <c r="W33" s="217">
        <f t="shared" si="1"/>
        <v>3.5000000000000003E-2</v>
      </c>
    </row>
    <row r="34" spans="1:23">
      <c r="A34" s="136">
        <v>455</v>
      </c>
      <c r="B34" s="186">
        <v>454</v>
      </c>
      <c r="C34" s="186">
        <v>283.3</v>
      </c>
      <c r="D34" s="215">
        <v>416.2</v>
      </c>
      <c r="E34" s="186">
        <v>565.1</v>
      </c>
      <c r="F34" s="186">
        <v>670.5</v>
      </c>
      <c r="G34" s="186">
        <v>396.5</v>
      </c>
      <c r="H34" s="186">
        <v>829.4</v>
      </c>
      <c r="I34" s="186">
        <v>565.9</v>
      </c>
      <c r="J34" s="186">
        <v>452.6</v>
      </c>
      <c r="K34" s="186">
        <v>452.8</v>
      </c>
      <c r="L34" s="186">
        <v>582.79999999999995</v>
      </c>
      <c r="M34" s="216">
        <v>501.1</v>
      </c>
      <c r="N34" s="216">
        <v>426.1</v>
      </c>
      <c r="O34" s="216">
        <v>479.4</v>
      </c>
      <c r="P34" s="216">
        <v>833.8</v>
      </c>
      <c r="Q34" s="135">
        <f t="shared" si="0"/>
        <v>583.66</v>
      </c>
      <c r="R34" s="190">
        <v>0.255</v>
      </c>
      <c r="S34" s="216">
        <v>832</v>
      </c>
      <c r="T34" s="190">
        <v>0.255</v>
      </c>
      <c r="V34" s="8">
        <v>3.7</v>
      </c>
      <c r="W34" s="217">
        <f t="shared" si="1"/>
        <v>3.7000000000000005E-2</v>
      </c>
    </row>
    <row r="35" spans="1:23">
      <c r="A35" s="136">
        <v>456</v>
      </c>
      <c r="B35" s="186">
        <v>455.7</v>
      </c>
      <c r="C35" s="186">
        <v>284.10000000000002</v>
      </c>
      <c r="D35" s="215">
        <v>417.5</v>
      </c>
      <c r="E35" s="186">
        <v>567</v>
      </c>
      <c r="F35" s="186">
        <v>673</v>
      </c>
      <c r="G35" s="186">
        <v>398.1</v>
      </c>
      <c r="H35" s="186">
        <v>831.9</v>
      </c>
      <c r="I35" s="186">
        <v>567.29999999999995</v>
      </c>
      <c r="J35" s="186">
        <v>453.9</v>
      </c>
      <c r="K35" s="186">
        <v>454.4</v>
      </c>
      <c r="L35" s="186">
        <v>585</v>
      </c>
      <c r="M35" s="216">
        <v>502.7</v>
      </c>
      <c r="N35" s="216">
        <v>427.2</v>
      </c>
      <c r="O35" s="216">
        <v>481.2</v>
      </c>
      <c r="P35" s="216">
        <v>836.2</v>
      </c>
      <c r="Q35" s="135">
        <f t="shared" si="0"/>
        <v>585.34</v>
      </c>
      <c r="R35" s="190">
        <v>0.25</v>
      </c>
      <c r="S35" s="216">
        <v>834</v>
      </c>
      <c r="T35" s="190">
        <v>0.25</v>
      </c>
      <c r="V35" s="8">
        <v>4</v>
      </c>
      <c r="W35" s="217">
        <f t="shared" si="1"/>
        <v>0.04</v>
      </c>
    </row>
    <row r="36" spans="1:23">
      <c r="A36" s="136">
        <v>457</v>
      </c>
      <c r="B36" s="186">
        <v>456.3</v>
      </c>
      <c r="C36" s="186">
        <v>284.7</v>
      </c>
      <c r="D36" s="215">
        <v>418.4</v>
      </c>
      <c r="E36" s="186">
        <v>568.1</v>
      </c>
      <c r="F36" s="186">
        <v>673.9</v>
      </c>
      <c r="G36" s="186">
        <v>398.8</v>
      </c>
      <c r="H36" s="186">
        <v>833.7</v>
      </c>
      <c r="I36" s="186">
        <v>568.20000000000005</v>
      </c>
      <c r="J36" s="186">
        <v>454.9</v>
      </c>
      <c r="K36" s="186">
        <v>455.4</v>
      </c>
      <c r="L36" s="186">
        <v>586.29999999999995</v>
      </c>
      <c r="M36" s="216">
        <v>503.4</v>
      </c>
      <c r="N36" s="216">
        <v>427.9</v>
      </c>
      <c r="O36" s="216">
        <v>482.1</v>
      </c>
      <c r="P36" s="216">
        <v>837.3</v>
      </c>
      <c r="Q36" s="135">
        <f t="shared" si="0"/>
        <v>586.1099999999999</v>
      </c>
      <c r="R36" s="190">
        <v>0.245</v>
      </c>
      <c r="S36" s="216">
        <v>836</v>
      </c>
      <c r="T36" s="190">
        <v>0.245</v>
      </c>
      <c r="V36" s="8">
        <v>4.3</v>
      </c>
      <c r="W36" s="217">
        <f t="shared" si="1"/>
        <v>4.2999999999999997E-2</v>
      </c>
    </row>
    <row r="37" spans="1:23">
      <c r="A37" s="136">
        <v>458</v>
      </c>
      <c r="B37" s="186">
        <v>457.6</v>
      </c>
      <c r="C37" s="186">
        <v>285.39999999999998</v>
      </c>
      <c r="D37" s="215">
        <v>419.2</v>
      </c>
      <c r="E37" s="186">
        <v>569.29999999999995</v>
      </c>
      <c r="F37" s="186">
        <v>675.3</v>
      </c>
      <c r="G37" s="186">
        <v>399.9</v>
      </c>
      <c r="H37" s="186">
        <v>835.5</v>
      </c>
      <c r="I37" s="186">
        <v>569.29999999999995</v>
      </c>
      <c r="J37" s="186">
        <v>456.2</v>
      </c>
      <c r="K37" s="186">
        <v>456.6</v>
      </c>
      <c r="L37" s="186">
        <v>587.6</v>
      </c>
      <c r="M37" s="216">
        <v>504.4</v>
      </c>
      <c r="N37" s="216">
        <v>428.7</v>
      </c>
      <c r="O37" s="216">
        <v>483</v>
      </c>
      <c r="P37" s="216">
        <v>838.9</v>
      </c>
      <c r="Q37" s="135">
        <f t="shared" ref="Q37:Q68" si="2">P37*0.7</f>
        <v>587.2299999999999</v>
      </c>
      <c r="R37" s="190">
        <v>0.24</v>
      </c>
      <c r="S37" s="216">
        <v>838</v>
      </c>
      <c r="T37" s="190">
        <v>0.24</v>
      </c>
      <c r="V37" s="8">
        <v>4.7</v>
      </c>
      <c r="W37" s="217">
        <f t="shared" si="1"/>
        <v>4.7E-2</v>
      </c>
    </row>
    <row r="38" spans="1:23">
      <c r="A38" s="136">
        <v>459</v>
      </c>
      <c r="B38" s="186">
        <v>458.9</v>
      </c>
      <c r="C38" s="186">
        <v>286.2</v>
      </c>
      <c r="D38" s="215">
        <v>420.3</v>
      </c>
      <c r="E38" s="186">
        <v>570.5</v>
      </c>
      <c r="F38" s="186">
        <v>677</v>
      </c>
      <c r="G38" s="186">
        <v>400.9</v>
      </c>
      <c r="H38" s="186">
        <v>838</v>
      </c>
      <c r="I38" s="186">
        <v>571</v>
      </c>
      <c r="J38" s="186">
        <v>457.6</v>
      </c>
      <c r="K38" s="186">
        <v>458</v>
      </c>
      <c r="L38" s="186">
        <v>588.79999999999995</v>
      </c>
      <c r="M38" s="216">
        <v>505.5</v>
      </c>
      <c r="N38" s="216">
        <v>429.4</v>
      </c>
      <c r="O38" s="216">
        <v>484</v>
      </c>
      <c r="P38" s="216">
        <v>841</v>
      </c>
      <c r="Q38" s="135">
        <f t="shared" si="2"/>
        <v>588.69999999999993</v>
      </c>
      <c r="R38" s="190">
        <v>0.23499999999999999</v>
      </c>
      <c r="S38" s="216">
        <v>840</v>
      </c>
      <c r="T38" s="190">
        <v>0.23499999999999999</v>
      </c>
      <c r="V38" s="8">
        <v>5</v>
      </c>
      <c r="W38" s="217">
        <f t="shared" si="1"/>
        <v>0.05</v>
      </c>
    </row>
    <row r="39" spans="1:23">
      <c r="A39" s="136">
        <v>460</v>
      </c>
      <c r="B39" s="186">
        <v>460</v>
      </c>
      <c r="C39" s="186">
        <v>287</v>
      </c>
      <c r="D39" s="215">
        <v>421.7</v>
      </c>
      <c r="E39" s="186">
        <v>572.29999999999995</v>
      </c>
      <c r="F39" s="186">
        <v>678.6</v>
      </c>
      <c r="G39" s="186">
        <v>402</v>
      </c>
      <c r="H39" s="186">
        <v>840.5</v>
      </c>
      <c r="I39" s="186">
        <v>572.70000000000005</v>
      </c>
      <c r="J39" s="186">
        <v>458.6</v>
      </c>
      <c r="K39" s="186">
        <v>459.1</v>
      </c>
      <c r="L39" s="186">
        <v>590.5</v>
      </c>
      <c r="M39" s="216">
        <v>506.7</v>
      </c>
      <c r="N39" s="216">
        <v>430.4</v>
      </c>
      <c r="O39" s="216">
        <v>485.2</v>
      </c>
      <c r="P39" s="216">
        <v>843.9</v>
      </c>
      <c r="Q39" s="135">
        <f t="shared" si="2"/>
        <v>590.7299999999999</v>
      </c>
      <c r="R39" s="190">
        <v>0.23</v>
      </c>
      <c r="S39" s="216">
        <v>842</v>
      </c>
      <c r="T39" s="190">
        <v>0.23</v>
      </c>
      <c r="V39" s="8">
        <v>5.3</v>
      </c>
      <c r="W39" s="217">
        <f t="shared" si="1"/>
        <v>5.2999999999999999E-2</v>
      </c>
    </row>
    <row r="40" spans="1:23">
      <c r="A40" s="136">
        <v>461</v>
      </c>
      <c r="B40" s="186">
        <v>461</v>
      </c>
      <c r="C40" s="186">
        <v>287.60000000000002</v>
      </c>
      <c r="D40" s="215">
        <v>422.8</v>
      </c>
      <c r="E40" s="186">
        <v>574.1</v>
      </c>
      <c r="F40" s="186">
        <v>680.2</v>
      </c>
      <c r="G40" s="186">
        <v>403.1</v>
      </c>
      <c r="H40" s="186">
        <v>842.5</v>
      </c>
      <c r="I40" s="186">
        <v>574.20000000000005</v>
      </c>
      <c r="J40" s="186">
        <v>459.7</v>
      </c>
      <c r="K40" s="186">
        <v>460.1</v>
      </c>
      <c r="L40" s="186">
        <v>592.20000000000005</v>
      </c>
      <c r="M40" s="216">
        <v>507.5</v>
      </c>
      <c r="N40" s="216">
        <v>431.4</v>
      </c>
      <c r="O40" s="216">
        <v>486.7</v>
      </c>
      <c r="P40" s="216">
        <v>846.1</v>
      </c>
      <c r="Q40" s="135">
        <f t="shared" si="2"/>
        <v>592.27</v>
      </c>
      <c r="R40" s="190">
        <v>0.22500000000000001</v>
      </c>
      <c r="S40" s="216">
        <v>843.9</v>
      </c>
      <c r="T40" s="190">
        <v>0.22500000000000001</v>
      </c>
      <c r="V40" s="8">
        <v>5.7</v>
      </c>
      <c r="W40" s="217">
        <f t="shared" si="1"/>
        <v>5.7000000000000002E-2</v>
      </c>
    </row>
    <row r="41" spans="1:23">
      <c r="A41" s="136">
        <v>462</v>
      </c>
      <c r="B41" s="186">
        <v>462</v>
      </c>
      <c r="C41" s="186">
        <v>288.3</v>
      </c>
      <c r="D41" s="215">
        <v>423.4</v>
      </c>
      <c r="E41" s="186">
        <v>575.20000000000005</v>
      </c>
      <c r="F41" s="186">
        <v>681.3</v>
      </c>
      <c r="G41" s="186">
        <v>403.7</v>
      </c>
      <c r="H41" s="186">
        <v>844</v>
      </c>
      <c r="I41" s="186">
        <v>575.1</v>
      </c>
      <c r="J41" s="186">
        <v>460.6</v>
      </c>
      <c r="K41" s="186">
        <v>461.2</v>
      </c>
      <c r="L41" s="186">
        <v>593.20000000000005</v>
      </c>
      <c r="M41" s="216">
        <v>508.8</v>
      </c>
      <c r="N41" s="216">
        <v>432</v>
      </c>
      <c r="O41" s="216">
        <v>487.7</v>
      </c>
      <c r="P41" s="216">
        <v>847.3</v>
      </c>
      <c r="Q41" s="135">
        <f t="shared" si="2"/>
        <v>593.1099999999999</v>
      </c>
      <c r="R41" s="190">
        <v>0.22</v>
      </c>
      <c r="S41" s="216">
        <v>845.3</v>
      </c>
      <c r="T41" s="190">
        <v>0.22</v>
      </c>
      <c r="V41" s="8">
        <v>6</v>
      </c>
      <c r="W41" s="217">
        <f t="shared" si="1"/>
        <v>0.06</v>
      </c>
    </row>
    <row r="42" spans="1:23">
      <c r="A42" s="136">
        <v>463</v>
      </c>
      <c r="B42" s="186">
        <v>463.1</v>
      </c>
      <c r="C42" s="186">
        <v>288.89999999999998</v>
      </c>
      <c r="D42" s="215">
        <v>424.4</v>
      </c>
      <c r="E42" s="186">
        <v>576.6</v>
      </c>
      <c r="F42" s="186">
        <v>682.2</v>
      </c>
      <c r="G42" s="186">
        <v>404.8</v>
      </c>
      <c r="H42" s="186">
        <v>846</v>
      </c>
      <c r="I42" s="186">
        <v>576.20000000000005</v>
      </c>
      <c r="J42" s="186">
        <v>461.9</v>
      </c>
      <c r="K42" s="186">
        <v>462.1</v>
      </c>
      <c r="L42" s="186">
        <v>594.4</v>
      </c>
      <c r="M42" s="216">
        <v>509.9</v>
      </c>
      <c r="N42" s="216">
        <v>432.8</v>
      </c>
      <c r="O42" s="216">
        <v>488.7</v>
      </c>
      <c r="P42" s="216">
        <v>848.4</v>
      </c>
      <c r="Q42" s="135">
        <f t="shared" si="2"/>
        <v>593.88</v>
      </c>
      <c r="R42" s="190">
        <v>0.217</v>
      </c>
      <c r="S42" s="216">
        <v>847.3</v>
      </c>
      <c r="T42" s="190">
        <v>0.217</v>
      </c>
      <c r="V42" s="8">
        <v>6.3</v>
      </c>
      <c r="W42" s="217">
        <f t="shared" si="1"/>
        <v>6.3E-2</v>
      </c>
    </row>
    <row r="43" spans="1:23">
      <c r="A43" s="136">
        <v>464</v>
      </c>
      <c r="B43" s="186">
        <v>464</v>
      </c>
      <c r="C43" s="186">
        <v>289.39999999999998</v>
      </c>
      <c r="D43" s="215">
        <v>425.3</v>
      </c>
      <c r="E43" s="186">
        <v>577.79999999999995</v>
      </c>
      <c r="F43" s="186">
        <v>683.6</v>
      </c>
      <c r="G43" s="186">
        <v>405.6</v>
      </c>
      <c r="H43" s="186">
        <v>847.8</v>
      </c>
      <c r="I43" s="186">
        <v>577.5</v>
      </c>
      <c r="J43" s="186">
        <v>462.9</v>
      </c>
      <c r="K43" s="186">
        <v>463.3</v>
      </c>
      <c r="L43" s="186">
        <v>595.79999999999995</v>
      </c>
      <c r="M43" s="216">
        <v>511.1</v>
      </c>
      <c r="N43" s="216">
        <v>433.8</v>
      </c>
      <c r="O43" s="216">
        <v>489.6</v>
      </c>
      <c r="P43" s="216">
        <v>850.1</v>
      </c>
      <c r="Q43" s="135">
        <f t="shared" si="2"/>
        <v>595.06999999999994</v>
      </c>
      <c r="R43" s="190">
        <v>0.21299999999999999</v>
      </c>
      <c r="S43" s="216">
        <v>849</v>
      </c>
      <c r="T43" s="190">
        <v>0.21299999999999999</v>
      </c>
      <c r="V43" s="8">
        <v>6.7</v>
      </c>
      <c r="W43" s="217">
        <f t="shared" si="1"/>
        <v>6.7000000000000004E-2</v>
      </c>
    </row>
    <row r="44" spans="1:23">
      <c r="A44" s="136">
        <v>465</v>
      </c>
      <c r="B44" s="186">
        <v>464.9</v>
      </c>
      <c r="C44" s="186">
        <v>290</v>
      </c>
      <c r="D44" s="215">
        <v>426.1</v>
      </c>
      <c r="E44" s="186">
        <v>578.5</v>
      </c>
      <c r="F44" s="186">
        <v>684.9</v>
      </c>
      <c r="G44" s="186">
        <v>406.5</v>
      </c>
      <c r="H44" s="186">
        <v>849.5</v>
      </c>
      <c r="I44" s="186">
        <v>578.4</v>
      </c>
      <c r="J44" s="186">
        <v>463.8</v>
      </c>
      <c r="K44" s="186">
        <v>464.3</v>
      </c>
      <c r="L44" s="186">
        <v>596.9</v>
      </c>
      <c r="M44" s="216">
        <v>511.9</v>
      </c>
      <c r="N44" s="216">
        <v>434.3</v>
      </c>
      <c r="O44" s="216">
        <v>490.3</v>
      </c>
      <c r="P44" s="216">
        <v>851.5</v>
      </c>
      <c r="Q44" s="135">
        <f t="shared" si="2"/>
        <v>596.04999999999995</v>
      </c>
      <c r="R44" s="190">
        <v>0.21</v>
      </c>
      <c r="S44" s="216">
        <v>851</v>
      </c>
      <c r="T44" s="190">
        <v>0.21</v>
      </c>
      <c r="V44" s="8">
        <v>7</v>
      </c>
      <c r="W44" s="217">
        <f t="shared" si="1"/>
        <v>7.0000000000000007E-2</v>
      </c>
    </row>
    <row r="45" spans="1:23">
      <c r="A45" s="136">
        <v>466</v>
      </c>
      <c r="B45" s="186">
        <v>466</v>
      </c>
      <c r="C45" s="186">
        <v>290.7</v>
      </c>
      <c r="D45" s="215">
        <v>427.2</v>
      </c>
      <c r="E45" s="186">
        <v>580</v>
      </c>
      <c r="F45" s="186">
        <v>686.5</v>
      </c>
      <c r="G45" s="186">
        <v>407.4</v>
      </c>
      <c r="H45" s="186">
        <v>851.5</v>
      </c>
      <c r="I45" s="186">
        <v>579.29999999999995</v>
      </c>
      <c r="J45" s="186">
        <v>464.9</v>
      </c>
      <c r="K45" s="186">
        <v>465.5</v>
      </c>
      <c r="L45" s="186">
        <v>598.20000000000005</v>
      </c>
      <c r="M45" s="216">
        <v>512.9</v>
      </c>
      <c r="N45" s="216">
        <v>435.1</v>
      </c>
      <c r="O45" s="216">
        <v>491.4</v>
      </c>
      <c r="P45" s="216">
        <v>853.3</v>
      </c>
      <c r="Q45" s="135">
        <f t="shared" si="2"/>
        <v>597.30999999999995</v>
      </c>
      <c r="R45" s="190">
        <v>0.20499999999999999</v>
      </c>
      <c r="S45" s="216">
        <v>853</v>
      </c>
      <c r="T45" s="190">
        <v>0.20499999999999999</v>
      </c>
      <c r="V45" s="8">
        <v>7.3</v>
      </c>
      <c r="W45" s="217">
        <f t="shared" si="1"/>
        <v>7.2999999999999995E-2</v>
      </c>
    </row>
    <row r="46" spans="1:23">
      <c r="A46" s="136">
        <v>467</v>
      </c>
      <c r="B46" s="186">
        <v>467.2</v>
      </c>
      <c r="C46" s="186">
        <v>291.3</v>
      </c>
      <c r="D46" s="215">
        <v>428.3</v>
      </c>
      <c r="E46" s="186">
        <v>581.6</v>
      </c>
      <c r="F46" s="186">
        <v>688.4</v>
      </c>
      <c r="G46" s="186">
        <v>408.4</v>
      </c>
      <c r="H46" s="186">
        <v>853.5</v>
      </c>
      <c r="I46" s="186">
        <v>580.9</v>
      </c>
      <c r="J46" s="186">
        <v>466.4</v>
      </c>
      <c r="K46" s="186">
        <v>467.1</v>
      </c>
      <c r="L46" s="186">
        <v>599.9</v>
      </c>
      <c r="M46" s="216">
        <v>514.20000000000005</v>
      </c>
      <c r="N46" s="216">
        <v>435.9</v>
      </c>
      <c r="O46" s="216">
        <v>492.5</v>
      </c>
      <c r="P46" s="216">
        <v>855.8</v>
      </c>
      <c r="Q46" s="135">
        <f t="shared" si="2"/>
        <v>599.05999999999995</v>
      </c>
      <c r="R46" s="190">
        <v>0.2</v>
      </c>
      <c r="S46" s="216">
        <v>854.9</v>
      </c>
      <c r="T46" s="190">
        <v>0.2</v>
      </c>
      <c r="V46" s="8">
        <v>7.7</v>
      </c>
      <c r="W46" s="217">
        <f t="shared" si="1"/>
        <v>7.6999999999999999E-2</v>
      </c>
    </row>
    <row r="47" spans="1:23">
      <c r="A47" s="136">
        <v>468</v>
      </c>
      <c r="B47" s="186">
        <v>468.3</v>
      </c>
      <c r="C47" s="186">
        <v>292</v>
      </c>
      <c r="D47" s="215">
        <v>429</v>
      </c>
      <c r="E47" s="186">
        <v>582.4</v>
      </c>
      <c r="F47" s="186">
        <v>689.2</v>
      </c>
      <c r="G47" s="186">
        <v>409.1</v>
      </c>
      <c r="H47" s="186">
        <v>855</v>
      </c>
      <c r="I47" s="186">
        <v>581.9</v>
      </c>
      <c r="J47" s="186">
        <v>467.2</v>
      </c>
      <c r="K47" s="186">
        <v>468.1</v>
      </c>
      <c r="L47" s="186">
        <v>601</v>
      </c>
      <c r="M47" s="216">
        <v>514.70000000000005</v>
      </c>
      <c r="N47" s="216">
        <v>436.4</v>
      </c>
      <c r="O47" s="216">
        <v>493.3</v>
      </c>
      <c r="P47" s="216">
        <v>857.5</v>
      </c>
      <c r="Q47" s="135">
        <f t="shared" si="2"/>
        <v>600.25</v>
      </c>
      <c r="R47" s="190">
        <v>0.19500000000000001</v>
      </c>
      <c r="S47" s="216">
        <v>856.8</v>
      </c>
      <c r="T47" s="190">
        <v>0.19500000000000001</v>
      </c>
      <c r="V47" s="8">
        <v>8</v>
      </c>
      <c r="W47" s="217">
        <f t="shared" si="1"/>
        <v>0.08</v>
      </c>
    </row>
    <row r="48" spans="1:23">
      <c r="A48" s="136">
        <v>469</v>
      </c>
      <c r="B48" s="186">
        <v>469.1</v>
      </c>
      <c r="C48" s="186">
        <v>292.60000000000002</v>
      </c>
      <c r="D48" s="215">
        <v>429.6</v>
      </c>
      <c r="E48" s="186">
        <v>583.4</v>
      </c>
      <c r="F48" s="186">
        <v>690.1</v>
      </c>
      <c r="G48" s="186">
        <v>410</v>
      </c>
      <c r="H48" s="186">
        <v>857</v>
      </c>
      <c r="I48" s="186">
        <v>582.79999999999995</v>
      </c>
      <c r="J48" s="186">
        <v>468.1</v>
      </c>
      <c r="K48" s="186">
        <v>468.8</v>
      </c>
      <c r="L48" s="186">
        <v>602.1</v>
      </c>
      <c r="M48" s="216">
        <v>515.79999999999995</v>
      </c>
      <c r="N48" s="216">
        <v>437</v>
      </c>
      <c r="O48" s="216">
        <v>494.2</v>
      </c>
      <c r="P48" s="216">
        <v>858.6</v>
      </c>
      <c r="Q48" s="135">
        <f t="shared" si="2"/>
        <v>601.02</v>
      </c>
      <c r="R48" s="190">
        <v>0.19</v>
      </c>
      <c r="S48" s="216">
        <v>858.4</v>
      </c>
      <c r="T48" s="190">
        <v>0.19</v>
      </c>
      <c r="V48" s="8">
        <v>8.3000000000000007</v>
      </c>
      <c r="W48" s="217">
        <f t="shared" si="1"/>
        <v>8.3000000000000004E-2</v>
      </c>
    </row>
    <row r="49" spans="1:23">
      <c r="A49" s="136">
        <v>470</v>
      </c>
      <c r="B49" s="186">
        <v>470.2</v>
      </c>
      <c r="C49" s="186">
        <v>293.2</v>
      </c>
      <c r="D49" s="215">
        <v>430.7</v>
      </c>
      <c r="E49" s="186">
        <v>584.5</v>
      </c>
      <c r="F49" s="186">
        <v>692.2</v>
      </c>
      <c r="G49" s="186">
        <v>411</v>
      </c>
      <c r="H49" s="186">
        <v>859</v>
      </c>
      <c r="I49" s="186">
        <v>583.9</v>
      </c>
      <c r="J49" s="186">
        <v>468.8</v>
      </c>
      <c r="K49" s="186">
        <v>469.6</v>
      </c>
      <c r="L49" s="186">
        <v>603</v>
      </c>
      <c r="M49" s="216">
        <v>516.9</v>
      </c>
      <c r="N49" s="216">
        <v>437.8</v>
      </c>
      <c r="O49" s="216">
        <v>495</v>
      </c>
      <c r="P49" s="216">
        <v>860.1</v>
      </c>
      <c r="Q49" s="135">
        <f t="shared" si="2"/>
        <v>602.06999999999994</v>
      </c>
      <c r="R49" s="190">
        <v>0.185</v>
      </c>
      <c r="S49" s="216">
        <v>860.1</v>
      </c>
      <c r="T49" s="190">
        <v>0.185</v>
      </c>
      <c r="V49" s="8">
        <v>8.6999999999999993</v>
      </c>
      <c r="W49" s="217">
        <f t="shared" si="1"/>
        <v>8.6999999999999994E-2</v>
      </c>
    </row>
    <row r="50" spans="1:23">
      <c r="A50" s="136">
        <v>471</v>
      </c>
      <c r="B50" s="186">
        <v>471</v>
      </c>
      <c r="C50" s="186">
        <v>293.8</v>
      </c>
      <c r="D50" s="215">
        <v>431.7</v>
      </c>
      <c r="E50" s="186">
        <v>585.6</v>
      </c>
      <c r="F50" s="186">
        <v>693.5</v>
      </c>
      <c r="G50" s="186">
        <v>411.9</v>
      </c>
      <c r="H50" s="186">
        <v>861</v>
      </c>
      <c r="I50" s="186">
        <v>584.6</v>
      </c>
      <c r="J50" s="186">
        <v>470</v>
      </c>
      <c r="K50" s="186">
        <v>470.4</v>
      </c>
      <c r="L50" s="186">
        <v>604.6</v>
      </c>
      <c r="M50" s="216">
        <v>517.79999999999995</v>
      </c>
      <c r="N50" s="216">
        <v>438.3</v>
      </c>
      <c r="O50" s="216">
        <v>495.9</v>
      </c>
      <c r="P50" s="216">
        <v>861.7</v>
      </c>
      <c r="Q50" s="135">
        <f t="shared" si="2"/>
        <v>603.18999999999994</v>
      </c>
      <c r="R50" s="190">
        <v>0.18</v>
      </c>
      <c r="S50" s="216">
        <v>862</v>
      </c>
      <c r="T50" s="190">
        <v>0.18</v>
      </c>
      <c r="V50" s="8">
        <v>9</v>
      </c>
      <c r="W50" s="217">
        <f t="shared" si="1"/>
        <v>0.09</v>
      </c>
    </row>
    <row r="51" spans="1:23">
      <c r="A51" s="136">
        <v>472</v>
      </c>
      <c r="B51" s="186">
        <v>472.2</v>
      </c>
      <c r="C51" s="186">
        <v>294.5</v>
      </c>
      <c r="D51" s="215">
        <v>432.7</v>
      </c>
      <c r="E51" s="186">
        <v>587.20000000000005</v>
      </c>
      <c r="F51" s="186">
        <v>695</v>
      </c>
      <c r="G51" s="186">
        <v>412.9</v>
      </c>
      <c r="H51" s="186">
        <v>863</v>
      </c>
      <c r="I51" s="186">
        <v>586.4</v>
      </c>
      <c r="J51" s="186">
        <v>471</v>
      </c>
      <c r="K51" s="186">
        <v>471.9</v>
      </c>
      <c r="L51" s="186">
        <v>606</v>
      </c>
      <c r="M51" s="216">
        <v>518.9</v>
      </c>
      <c r="N51" s="216">
        <v>439.3</v>
      </c>
      <c r="O51" s="216">
        <v>497</v>
      </c>
      <c r="P51" s="216">
        <v>864.1</v>
      </c>
      <c r="Q51" s="135">
        <f t="shared" si="2"/>
        <v>604.87</v>
      </c>
      <c r="R51" s="190">
        <v>0.17699999999999999</v>
      </c>
      <c r="S51" s="216">
        <v>863.9</v>
      </c>
      <c r="T51" s="190">
        <v>0.17699999999999999</v>
      </c>
      <c r="V51" s="8">
        <v>9.3000000000000007</v>
      </c>
      <c r="W51" s="217">
        <f t="shared" si="1"/>
        <v>9.3000000000000013E-2</v>
      </c>
    </row>
    <row r="52" spans="1:23">
      <c r="A52" s="136">
        <v>473</v>
      </c>
      <c r="B52" s="186">
        <v>473</v>
      </c>
      <c r="C52" s="186">
        <v>295.2</v>
      </c>
      <c r="D52" s="215">
        <v>433.5</v>
      </c>
      <c r="E52" s="186">
        <v>588.1</v>
      </c>
      <c r="F52" s="186">
        <v>696.4</v>
      </c>
      <c r="G52" s="186">
        <v>413.5</v>
      </c>
      <c r="H52" s="186">
        <v>865</v>
      </c>
      <c r="I52" s="186">
        <v>587.6</v>
      </c>
      <c r="J52" s="186">
        <v>472</v>
      </c>
      <c r="K52" s="186">
        <v>472.9</v>
      </c>
      <c r="L52" s="186">
        <v>606.9</v>
      </c>
      <c r="M52" s="216">
        <v>519.9</v>
      </c>
      <c r="N52" s="216">
        <v>440.1</v>
      </c>
      <c r="O52" s="216">
        <v>498</v>
      </c>
      <c r="P52" s="216">
        <v>865.5</v>
      </c>
      <c r="Q52" s="135">
        <f t="shared" si="2"/>
        <v>605.84999999999991</v>
      </c>
      <c r="R52" s="190">
        <v>0.17300000000000001</v>
      </c>
      <c r="S52" s="216">
        <v>866</v>
      </c>
      <c r="T52" s="190">
        <v>0.17300000000000001</v>
      </c>
      <c r="V52" s="8">
        <v>9.6999999999999993</v>
      </c>
      <c r="W52" s="217">
        <f t="shared" si="1"/>
        <v>9.6999999999999989E-2</v>
      </c>
    </row>
    <row r="53" spans="1:23">
      <c r="A53" s="136">
        <v>474</v>
      </c>
      <c r="B53" s="186">
        <v>474.1</v>
      </c>
      <c r="C53" s="186">
        <v>295.89999999999998</v>
      </c>
      <c r="D53" s="215">
        <v>434.7</v>
      </c>
      <c r="E53" s="186">
        <v>589.79999999999995</v>
      </c>
      <c r="F53" s="186">
        <v>698.4</v>
      </c>
      <c r="G53" s="186">
        <v>414.7</v>
      </c>
      <c r="H53" s="186">
        <v>867</v>
      </c>
      <c r="I53" s="186">
        <v>588.9</v>
      </c>
      <c r="J53" s="186">
        <v>473.1</v>
      </c>
      <c r="K53" s="186">
        <v>474.1</v>
      </c>
      <c r="L53" s="186">
        <v>608.5</v>
      </c>
      <c r="M53" s="216">
        <v>521.4</v>
      </c>
      <c r="N53" s="216">
        <v>441.1</v>
      </c>
      <c r="O53" s="216">
        <v>499.1</v>
      </c>
      <c r="P53" s="216">
        <v>867.7</v>
      </c>
      <c r="Q53" s="135">
        <f t="shared" si="2"/>
        <v>607.39</v>
      </c>
      <c r="R53" s="190">
        <v>0.17</v>
      </c>
      <c r="S53" s="216">
        <v>868</v>
      </c>
      <c r="T53" s="190">
        <v>0.17</v>
      </c>
      <c r="V53" s="8">
        <v>10</v>
      </c>
      <c r="W53" s="217">
        <f t="shared" si="1"/>
        <v>0.1</v>
      </c>
    </row>
    <row r="54" spans="1:23">
      <c r="A54" s="136">
        <v>475</v>
      </c>
      <c r="B54" s="186">
        <v>475.5</v>
      </c>
      <c r="C54" s="186">
        <v>296.60000000000002</v>
      </c>
      <c r="D54" s="215">
        <v>435.8</v>
      </c>
      <c r="E54" s="186">
        <v>590.9</v>
      </c>
      <c r="F54" s="186">
        <v>699.7</v>
      </c>
      <c r="G54" s="186">
        <v>415.7</v>
      </c>
      <c r="H54" s="186">
        <v>869</v>
      </c>
      <c r="I54" s="186">
        <v>590.29999999999995</v>
      </c>
      <c r="J54" s="186">
        <v>474.4</v>
      </c>
      <c r="K54" s="186">
        <v>475.3</v>
      </c>
      <c r="L54" s="186">
        <v>610.20000000000005</v>
      </c>
      <c r="M54" s="216">
        <v>522.5</v>
      </c>
      <c r="N54" s="216">
        <v>441.9</v>
      </c>
      <c r="O54" s="216">
        <v>500.1</v>
      </c>
      <c r="P54" s="216">
        <v>869.4</v>
      </c>
      <c r="Q54" s="135">
        <f t="shared" si="2"/>
        <v>608.57999999999993</v>
      </c>
      <c r="R54" s="190">
        <v>0.16699999999999998</v>
      </c>
      <c r="S54" s="216">
        <v>870</v>
      </c>
      <c r="T54" s="190">
        <v>0.16699999999999998</v>
      </c>
      <c r="V54" s="8">
        <v>10.3</v>
      </c>
      <c r="W54" s="217">
        <f t="shared" si="1"/>
        <v>0.10300000000000001</v>
      </c>
    </row>
    <row r="55" spans="1:23">
      <c r="A55" s="136">
        <v>476</v>
      </c>
      <c r="B55" s="186">
        <v>476.6</v>
      </c>
      <c r="C55" s="186">
        <v>297.3</v>
      </c>
      <c r="D55" s="215">
        <v>436.7</v>
      </c>
      <c r="E55" s="186">
        <v>592.1</v>
      </c>
      <c r="F55" s="186">
        <v>700.9</v>
      </c>
      <c r="G55" s="186">
        <v>416.6</v>
      </c>
      <c r="H55" s="186">
        <v>871</v>
      </c>
      <c r="I55" s="186">
        <v>591.5</v>
      </c>
      <c r="J55" s="186">
        <v>475.2</v>
      </c>
      <c r="K55" s="186">
        <v>476.2</v>
      </c>
      <c r="L55" s="186">
        <v>611.5</v>
      </c>
      <c r="M55" s="216">
        <v>523.5</v>
      </c>
      <c r="N55" s="216">
        <v>442.8</v>
      </c>
      <c r="O55" s="216">
        <v>500.9</v>
      </c>
      <c r="P55" s="216">
        <v>871.3</v>
      </c>
      <c r="Q55" s="135">
        <f t="shared" si="2"/>
        <v>609.91</v>
      </c>
      <c r="R55" s="190">
        <v>0.16300000000000001</v>
      </c>
      <c r="S55" s="216">
        <v>872.2</v>
      </c>
      <c r="T55" s="190">
        <v>0.16300000000000001</v>
      </c>
      <c r="V55" s="8">
        <v>10.7</v>
      </c>
      <c r="W55" s="217">
        <f t="shared" si="1"/>
        <v>0.107</v>
      </c>
    </row>
    <row r="56" spans="1:23">
      <c r="A56" s="136">
        <v>477</v>
      </c>
      <c r="B56" s="186">
        <v>477.7</v>
      </c>
      <c r="C56" s="186">
        <v>298</v>
      </c>
      <c r="D56" s="215">
        <v>438</v>
      </c>
      <c r="E56" s="186">
        <v>593.9</v>
      </c>
      <c r="F56" s="186">
        <v>702.7</v>
      </c>
      <c r="G56" s="186">
        <v>417.6</v>
      </c>
      <c r="H56" s="186">
        <v>873</v>
      </c>
      <c r="I56" s="186">
        <v>593.1</v>
      </c>
      <c r="J56" s="186">
        <v>476.7</v>
      </c>
      <c r="K56" s="186">
        <v>477.4</v>
      </c>
      <c r="L56" s="186">
        <v>613.4</v>
      </c>
      <c r="M56" s="216">
        <v>524.70000000000005</v>
      </c>
      <c r="N56" s="216">
        <v>443.7</v>
      </c>
      <c r="O56" s="216">
        <v>502.5</v>
      </c>
      <c r="P56" s="216">
        <v>873.5</v>
      </c>
      <c r="Q56" s="135">
        <f t="shared" si="2"/>
        <v>611.44999999999993</v>
      </c>
      <c r="R56" s="190">
        <v>0.16</v>
      </c>
      <c r="S56" s="216">
        <v>874.3</v>
      </c>
      <c r="T56" s="190">
        <v>0.16</v>
      </c>
      <c r="V56" s="8">
        <v>11</v>
      </c>
      <c r="W56" s="217">
        <f t="shared" si="1"/>
        <v>0.11</v>
      </c>
    </row>
    <row r="57" spans="1:23">
      <c r="A57" s="136">
        <v>478</v>
      </c>
      <c r="B57" s="186">
        <v>478.6</v>
      </c>
      <c r="C57" s="186">
        <v>298.60000000000002</v>
      </c>
      <c r="D57" s="215">
        <v>438.8</v>
      </c>
      <c r="E57" s="186">
        <v>595.20000000000005</v>
      </c>
      <c r="F57" s="186">
        <v>703.9</v>
      </c>
      <c r="G57" s="186">
        <v>418.4</v>
      </c>
      <c r="H57" s="186">
        <v>874.5</v>
      </c>
      <c r="I57" s="186">
        <v>594</v>
      </c>
      <c r="J57" s="186">
        <v>477.6</v>
      </c>
      <c r="K57" s="186">
        <v>478.1</v>
      </c>
      <c r="L57" s="186">
        <v>614.4</v>
      </c>
      <c r="M57" s="216">
        <v>525.5</v>
      </c>
      <c r="N57" s="216">
        <v>444.2</v>
      </c>
      <c r="O57" s="216">
        <v>503.3</v>
      </c>
      <c r="P57" s="216">
        <v>874.6</v>
      </c>
      <c r="Q57" s="135">
        <f t="shared" si="2"/>
        <v>612.22</v>
      </c>
      <c r="R57" s="190">
        <v>0.157</v>
      </c>
      <c r="S57" s="216">
        <v>876.2</v>
      </c>
      <c r="T57" s="190">
        <v>0.157</v>
      </c>
      <c r="V57" s="8">
        <v>11.3</v>
      </c>
      <c r="W57" s="217">
        <f t="shared" si="1"/>
        <v>0.113</v>
      </c>
    </row>
    <row r="58" spans="1:23">
      <c r="A58" s="136">
        <v>479</v>
      </c>
      <c r="B58" s="186">
        <v>479.4</v>
      </c>
      <c r="C58" s="186">
        <v>299.2</v>
      </c>
      <c r="D58" s="215">
        <v>439.7</v>
      </c>
      <c r="E58" s="186">
        <v>596.20000000000005</v>
      </c>
      <c r="F58" s="186">
        <v>705.3</v>
      </c>
      <c r="G58" s="186">
        <v>419.1</v>
      </c>
      <c r="H58" s="186">
        <v>876.5</v>
      </c>
      <c r="I58" s="186">
        <v>595.4</v>
      </c>
      <c r="J58" s="186">
        <v>478.5</v>
      </c>
      <c r="K58" s="186">
        <v>479.2</v>
      </c>
      <c r="L58" s="186">
        <v>615.9</v>
      </c>
      <c r="M58" s="216">
        <v>526.5</v>
      </c>
      <c r="N58" s="216">
        <v>445.2</v>
      </c>
      <c r="O58" s="216">
        <v>504.2</v>
      </c>
      <c r="P58" s="216">
        <v>876.9</v>
      </c>
      <c r="Q58" s="135">
        <f t="shared" si="2"/>
        <v>613.82999999999993</v>
      </c>
      <c r="R58" s="190">
        <v>0.153</v>
      </c>
      <c r="S58" s="216">
        <v>878</v>
      </c>
      <c r="T58" s="190">
        <v>0.153</v>
      </c>
      <c r="V58" s="8">
        <v>11.7</v>
      </c>
      <c r="W58" s="217">
        <f t="shared" si="1"/>
        <v>0.11699999999999999</v>
      </c>
    </row>
    <row r="59" spans="1:23">
      <c r="A59" s="136">
        <v>480</v>
      </c>
      <c r="B59" s="186">
        <v>480.9</v>
      </c>
      <c r="C59" s="186">
        <v>299.7</v>
      </c>
      <c r="D59" s="215">
        <v>440.4</v>
      </c>
      <c r="E59" s="186">
        <v>597.70000000000005</v>
      </c>
      <c r="F59" s="186">
        <v>707.2</v>
      </c>
      <c r="G59" s="186">
        <v>420.1</v>
      </c>
      <c r="H59" s="186">
        <v>878</v>
      </c>
      <c r="I59" s="186">
        <v>596.79999999999995</v>
      </c>
      <c r="J59" s="186">
        <v>479.7</v>
      </c>
      <c r="K59" s="186">
        <v>480.4</v>
      </c>
      <c r="L59" s="186">
        <v>616.79999999999995</v>
      </c>
      <c r="M59" s="216">
        <v>527.9</v>
      </c>
      <c r="N59" s="216">
        <v>446.2</v>
      </c>
      <c r="O59" s="216">
        <v>505.6</v>
      </c>
      <c r="P59" s="216">
        <v>878.9</v>
      </c>
      <c r="Q59" s="135">
        <f t="shared" si="2"/>
        <v>615.2299999999999</v>
      </c>
      <c r="R59" s="190">
        <v>0.15</v>
      </c>
      <c r="S59" s="216">
        <v>880</v>
      </c>
      <c r="T59" s="190">
        <v>0.15</v>
      </c>
      <c r="V59" s="8">
        <v>12</v>
      </c>
      <c r="W59" s="217">
        <f t="shared" si="1"/>
        <v>0.12</v>
      </c>
    </row>
    <row r="60" spans="1:23">
      <c r="A60" s="136">
        <v>481</v>
      </c>
      <c r="B60" s="186">
        <v>481.8</v>
      </c>
      <c r="C60" s="186">
        <v>300.5</v>
      </c>
      <c r="D60" s="215">
        <v>441.5</v>
      </c>
      <c r="E60" s="186">
        <v>599.4</v>
      </c>
      <c r="F60" s="186">
        <v>708.7</v>
      </c>
      <c r="G60" s="186">
        <v>421</v>
      </c>
      <c r="H60" s="186">
        <v>880</v>
      </c>
      <c r="I60" s="186">
        <v>598.1</v>
      </c>
      <c r="J60" s="186">
        <v>480.9</v>
      </c>
      <c r="K60" s="186">
        <v>481.9</v>
      </c>
      <c r="L60" s="186">
        <v>618.20000000000005</v>
      </c>
      <c r="M60" s="216">
        <v>529.29999999999995</v>
      </c>
      <c r="N60" s="216">
        <v>447.2</v>
      </c>
      <c r="O60" s="216">
        <v>506.9</v>
      </c>
      <c r="P60" s="216">
        <v>881.3</v>
      </c>
      <c r="Q60" s="135">
        <f t="shared" si="2"/>
        <v>616.91</v>
      </c>
      <c r="R60" s="190">
        <v>0.14699999999999999</v>
      </c>
      <c r="S60" s="216">
        <v>882</v>
      </c>
      <c r="T60" s="190">
        <v>0.14699999999999999</v>
      </c>
      <c r="V60" s="8">
        <v>12.3</v>
      </c>
      <c r="W60" s="217">
        <f t="shared" si="1"/>
        <v>0.12300000000000001</v>
      </c>
    </row>
    <row r="61" spans="1:23">
      <c r="A61" s="136">
        <v>482</v>
      </c>
      <c r="B61" s="186">
        <v>482.8</v>
      </c>
      <c r="C61" s="186">
        <v>301.10000000000002</v>
      </c>
      <c r="D61" s="215">
        <v>442.5</v>
      </c>
      <c r="E61" s="186">
        <v>601.1</v>
      </c>
      <c r="F61" s="186">
        <v>709.7</v>
      </c>
      <c r="G61" s="186">
        <v>422</v>
      </c>
      <c r="H61" s="186">
        <v>882</v>
      </c>
      <c r="I61" s="186">
        <v>599.6</v>
      </c>
      <c r="J61" s="186">
        <v>482.2</v>
      </c>
      <c r="K61" s="186">
        <v>483</v>
      </c>
      <c r="L61" s="186">
        <v>619.5</v>
      </c>
      <c r="M61" s="216">
        <v>530.5</v>
      </c>
      <c r="N61" s="216">
        <v>447.9</v>
      </c>
      <c r="O61" s="216">
        <v>508.2</v>
      </c>
      <c r="P61" s="216">
        <v>883.1</v>
      </c>
      <c r="Q61" s="135">
        <f t="shared" si="2"/>
        <v>618.16999999999996</v>
      </c>
      <c r="R61" s="190">
        <v>0.14300000000000002</v>
      </c>
      <c r="S61" s="216">
        <v>884.1</v>
      </c>
      <c r="T61" s="190">
        <v>0.14300000000000002</v>
      </c>
      <c r="V61" s="8">
        <v>12.7</v>
      </c>
      <c r="W61" s="217">
        <f t="shared" si="1"/>
        <v>0.127</v>
      </c>
    </row>
    <row r="62" spans="1:23">
      <c r="A62" s="136">
        <v>483</v>
      </c>
      <c r="B62" s="186">
        <v>484</v>
      </c>
      <c r="C62" s="186">
        <v>301.89999999999998</v>
      </c>
      <c r="D62" s="215">
        <v>443.6</v>
      </c>
      <c r="E62" s="186">
        <v>602.70000000000005</v>
      </c>
      <c r="F62" s="186">
        <v>711.1</v>
      </c>
      <c r="G62" s="186">
        <v>423.3</v>
      </c>
      <c r="H62" s="186">
        <v>884</v>
      </c>
      <c r="I62" s="186">
        <v>601.20000000000005</v>
      </c>
      <c r="J62" s="186">
        <v>483.7</v>
      </c>
      <c r="K62" s="186">
        <v>484.5</v>
      </c>
      <c r="L62" s="186">
        <v>621.1</v>
      </c>
      <c r="M62" s="216">
        <v>531.70000000000005</v>
      </c>
      <c r="N62" s="216">
        <v>449.1</v>
      </c>
      <c r="O62" s="216">
        <v>509.4</v>
      </c>
      <c r="P62" s="216">
        <v>885.9</v>
      </c>
      <c r="Q62" s="135">
        <f t="shared" si="2"/>
        <v>620.13</v>
      </c>
      <c r="R62" s="190">
        <v>0.14000000000000001</v>
      </c>
      <c r="S62" s="216">
        <v>886.3</v>
      </c>
      <c r="T62" s="190">
        <v>0.14000000000000001</v>
      </c>
      <c r="V62" s="8">
        <v>13</v>
      </c>
      <c r="W62" s="217">
        <f t="shared" si="1"/>
        <v>0.13</v>
      </c>
    </row>
    <row r="63" spans="1:23">
      <c r="A63" s="136">
        <v>484</v>
      </c>
      <c r="B63" s="186">
        <v>485</v>
      </c>
      <c r="C63" s="186">
        <v>302.5</v>
      </c>
      <c r="D63" s="215">
        <v>444.5</v>
      </c>
      <c r="E63" s="186">
        <v>603.79999999999995</v>
      </c>
      <c r="F63" s="186">
        <v>712.5</v>
      </c>
      <c r="G63" s="186">
        <v>424</v>
      </c>
      <c r="H63" s="186">
        <v>886</v>
      </c>
      <c r="I63" s="186">
        <v>602.4</v>
      </c>
      <c r="J63" s="186">
        <v>484.4</v>
      </c>
      <c r="K63" s="186">
        <v>485.4</v>
      </c>
      <c r="L63" s="186">
        <v>622.5</v>
      </c>
      <c r="M63" s="216">
        <v>532.5</v>
      </c>
      <c r="N63" s="216">
        <v>449.7</v>
      </c>
      <c r="O63" s="216">
        <v>510.4</v>
      </c>
      <c r="P63" s="216">
        <v>887.9</v>
      </c>
      <c r="Q63" s="135">
        <f t="shared" si="2"/>
        <v>621.53</v>
      </c>
      <c r="R63" s="190">
        <v>0.13699999999999998</v>
      </c>
      <c r="S63" s="216">
        <v>888.2</v>
      </c>
      <c r="T63" s="190">
        <v>0.13699999999999998</v>
      </c>
      <c r="V63" s="8">
        <v>13.3</v>
      </c>
      <c r="W63" s="217">
        <f t="shared" si="1"/>
        <v>0.13300000000000001</v>
      </c>
    </row>
    <row r="64" spans="1:23">
      <c r="A64" s="136">
        <v>485</v>
      </c>
      <c r="B64" s="186">
        <v>486.2</v>
      </c>
      <c r="C64" s="186">
        <v>303.2</v>
      </c>
      <c r="D64" s="215">
        <v>445.7</v>
      </c>
      <c r="E64" s="186">
        <v>605.20000000000005</v>
      </c>
      <c r="F64" s="186">
        <v>713.8</v>
      </c>
      <c r="G64" s="186">
        <v>425.3</v>
      </c>
      <c r="H64" s="186">
        <v>888</v>
      </c>
      <c r="I64" s="186">
        <v>603.4</v>
      </c>
      <c r="J64" s="186">
        <v>485.7</v>
      </c>
      <c r="K64" s="186">
        <v>486.7</v>
      </c>
      <c r="L64" s="186">
        <v>624</v>
      </c>
      <c r="M64" s="216">
        <v>533.79999999999995</v>
      </c>
      <c r="N64" s="216">
        <v>450.4</v>
      </c>
      <c r="O64" s="216">
        <v>511.3</v>
      </c>
      <c r="P64" s="216">
        <v>890.2</v>
      </c>
      <c r="Q64" s="135">
        <f t="shared" si="2"/>
        <v>623.14</v>
      </c>
      <c r="R64" s="190">
        <v>0.13300000000000001</v>
      </c>
      <c r="S64" s="216">
        <v>890.2</v>
      </c>
      <c r="T64" s="190">
        <v>0.13300000000000001</v>
      </c>
      <c r="V64" s="8">
        <v>13.7</v>
      </c>
      <c r="W64" s="217">
        <f t="shared" si="1"/>
        <v>0.13699999999999998</v>
      </c>
    </row>
    <row r="65" spans="1:23">
      <c r="A65" s="136">
        <v>486</v>
      </c>
      <c r="B65" s="186">
        <v>487</v>
      </c>
      <c r="C65" s="186">
        <v>303.89999999999998</v>
      </c>
      <c r="D65" s="215">
        <v>446.6</v>
      </c>
      <c r="E65" s="186">
        <v>606.1</v>
      </c>
      <c r="F65" s="186">
        <v>715.4</v>
      </c>
      <c r="G65" s="186">
        <v>426.1</v>
      </c>
      <c r="H65" s="186">
        <v>890</v>
      </c>
      <c r="I65" s="186">
        <v>604.6</v>
      </c>
      <c r="J65" s="186">
        <v>486.6</v>
      </c>
      <c r="K65" s="186">
        <v>487.6</v>
      </c>
      <c r="L65" s="186">
        <v>625</v>
      </c>
      <c r="M65" s="216">
        <v>534.6</v>
      </c>
      <c r="N65" s="216">
        <v>451</v>
      </c>
      <c r="O65" s="216">
        <v>512.4</v>
      </c>
      <c r="P65" s="216">
        <v>891.8</v>
      </c>
      <c r="Q65" s="135">
        <f t="shared" si="2"/>
        <v>624.25999999999988</v>
      </c>
      <c r="R65" s="190">
        <v>0.13</v>
      </c>
      <c r="S65" s="216">
        <v>892</v>
      </c>
      <c r="T65" s="190">
        <v>0.13</v>
      </c>
      <c r="V65" s="8">
        <v>14</v>
      </c>
      <c r="W65" s="217">
        <f t="shared" si="1"/>
        <v>0.14000000000000001</v>
      </c>
    </row>
    <row r="66" spans="1:23">
      <c r="A66" s="136">
        <v>487</v>
      </c>
      <c r="B66" s="186">
        <v>488</v>
      </c>
      <c r="C66" s="186">
        <v>304.5</v>
      </c>
      <c r="D66" s="215">
        <v>447.4</v>
      </c>
      <c r="E66" s="186">
        <v>607.1</v>
      </c>
      <c r="F66" s="186">
        <v>716.9</v>
      </c>
      <c r="G66" s="186">
        <v>426.9</v>
      </c>
      <c r="H66" s="186">
        <v>892</v>
      </c>
      <c r="I66" s="186">
        <v>605.79999999999995</v>
      </c>
      <c r="J66" s="186">
        <v>487.6</v>
      </c>
      <c r="K66" s="186">
        <v>488.6</v>
      </c>
      <c r="L66" s="186">
        <v>626.29999999999995</v>
      </c>
      <c r="M66" s="216">
        <v>535.5</v>
      </c>
      <c r="N66" s="216">
        <v>451.7</v>
      </c>
      <c r="O66" s="216">
        <v>513.20000000000005</v>
      </c>
      <c r="P66" s="216">
        <v>893.1</v>
      </c>
      <c r="Q66" s="135">
        <f t="shared" si="2"/>
        <v>625.16999999999996</v>
      </c>
      <c r="R66" s="190">
        <v>0.127</v>
      </c>
      <c r="S66" s="216">
        <v>893.6</v>
      </c>
      <c r="T66" s="190">
        <v>0.127</v>
      </c>
      <c r="V66" s="8">
        <v>14.3</v>
      </c>
      <c r="W66" s="217">
        <f t="shared" si="1"/>
        <v>0.14300000000000002</v>
      </c>
    </row>
    <row r="67" spans="1:23">
      <c r="A67" s="136">
        <v>488</v>
      </c>
      <c r="B67" s="186">
        <v>488.8</v>
      </c>
      <c r="C67" s="186">
        <v>305.10000000000002</v>
      </c>
      <c r="D67" s="215">
        <v>448.2</v>
      </c>
      <c r="E67" s="186">
        <v>608.6</v>
      </c>
      <c r="F67" s="186">
        <v>718.1</v>
      </c>
      <c r="G67" s="186">
        <v>427.8</v>
      </c>
      <c r="H67" s="186">
        <v>893.5</v>
      </c>
      <c r="I67" s="186">
        <v>606.6</v>
      </c>
      <c r="J67" s="186">
        <v>488.8</v>
      </c>
      <c r="K67" s="186">
        <v>489.7</v>
      </c>
      <c r="L67" s="186">
        <v>627.4</v>
      </c>
      <c r="M67" s="216">
        <v>536.29999999999995</v>
      </c>
      <c r="N67" s="216">
        <v>452.3</v>
      </c>
      <c r="O67" s="216">
        <v>514.20000000000005</v>
      </c>
      <c r="P67" s="216">
        <v>894.5</v>
      </c>
      <c r="Q67" s="135">
        <f t="shared" si="2"/>
        <v>626.15</v>
      </c>
      <c r="R67" s="190">
        <v>0.12300000000000001</v>
      </c>
      <c r="S67" s="216">
        <v>895.5</v>
      </c>
      <c r="T67" s="190">
        <v>0.12300000000000001</v>
      </c>
      <c r="V67" s="8">
        <v>14.7</v>
      </c>
      <c r="W67" s="217">
        <f t="shared" si="1"/>
        <v>0.14699999999999999</v>
      </c>
    </row>
    <row r="68" spans="1:23">
      <c r="A68" s="136">
        <v>489</v>
      </c>
      <c r="B68" s="186">
        <v>489.7</v>
      </c>
      <c r="C68" s="186">
        <v>305.60000000000002</v>
      </c>
      <c r="D68" s="215">
        <v>449</v>
      </c>
      <c r="E68" s="186">
        <v>609.4</v>
      </c>
      <c r="F68" s="186">
        <v>719.5</v>
      </c>
      <c r="G68" s="186">
        <v>428.5</v>
      </c>
      <c r="H68" s="186">
        <v>895</v>
      </c>
      <c r="I68" s="186">
        <v>607.6</v>
      </c>
      <c r="J68" s="186">
        <v>489.5</v>
      </c>
      <c r="K68" s="186">
        <v>490.6</v>
      </c>
      <c r="L68" s="186">
        <v>628.70000000000005</v>
      </c>
      <c r="M68" s="216">
        <v>537.4</v>
      </c>
      <c r="N68" s="216">
        <v>453.2</v>
      </c>
      <c r="O68" s="216">
        <v>515</v>
      </c>
      <c r="P68" s="216">
        <v>895.8</v>
      </c>
      <c r="Q68" s="135">
        <f t="shared" si="2"/>
        <v>627.05999999999995</v>
      </c>
      <c r="R68" s="190">
        <v>0.12</v>
      </c>
      <c r="S68" s="216">
        <v>897.1</v>
      </c>
      <c r="T68" s="190">
        <v>0.12</v>
      </c>
      <c r="V68" s="8">
        <v>15</v>
      </c>
      <c r="W68" s="217">
        <f t="shared" si="1"/>
        <v>0.15</v>
      </c>
    </row>
    <row r="69" spans="1:23">
      <c r="A69" s="136">
        <v>490</v>
      </c>
      <c r="B69" s="186">
        <v>490.8</v>
      </c>
      <c r="C69" s="186">
        <v>306.2</v>
      </c>
      <c r="D69" s="215">
        <v>449.8</v>
      </c>
      <c r="E69" s="186">
        <v>610.70000000000005</v>
      </c>
      <c r="F69" s="186">
        <v>720.7</v>
      </c>
      <c r="G69" s="186">
        <v>429.3</v>
      </c>
      <c r="H69" s="186">
        <v>897</v>
      </c>
      <c r="I69" s="186">
        <v>608.70000000000005</v>
      </c>
      <c r="J69" s="186">
        <v>490.3</v>
      </c>
      <c r="K69" s="186">
        <v>491.4</v>
      </c>
      <c r="L69" s="186">
        <v>629.70000000000005</v>
      </c>
      <c r="M69" s="216">
        <v>538.6</v>
      </c>
      <c r="N69" s="216">
        <v>454</v>
      </c>
      <c r="O69" s="216">
        <v>515.79999999999995</v>
      </c>
      <c r="P69" s="216">
        <v>897.3</v>
      </c>
      <c r="Q69" s="135">
        <f t="shared" ref="Q69:Q100" si="3">P69*0.7</f>
        <v>628.1099999999999</v>
      </c>
      <c r="R69" s="190">
        <v>0.11699999999999999</v>
      </c>
      <c r="S69" s="216">
        <v>899</v>
      </c>
      <c r="T69" s="190">
        <v>0.11699999999999999</v>
      </c>
      <c r="V69" s="8">
        <v>15.3</v>
      </c>
      <c r="W69" s="217">
        <f t="shared" si="1"/>
        <v>0.153</v>
      </c>
    </row>
    <row r="70" spans="1:23">
      <c r="A70" s="136">
        <v>491</v>
      </c>
      <c r="B70" s="186">
        <v>492</v>
      </c>
      <c r="C70" s="186">
        <v>306.8</v>
      </c>
      <c r="D70" s="215">
        <v>451.1</v>
      </c>
      <c r="E70" s="186">
        <v>612.29999999999995</v>
      </c>
      <c r="F70" s="186">
        <v>722.5</v>
      </c>
      <c r="G70" s="186">
        <v>430.3</v>
      </c>
      <c r="H70" s="186">
        <v>899</v>
      </c>
      <c r="I70" s="186">
        <v>610.6</v>
      </c>
      <c r="J70" s="186">
        <v>491.6</v>
      </c>
      <c r="K70" s="186">
        <v>492.5</v>
      </c>
      <c r="L70" s="186">
        <v>631.6</v>
      </c>
      <c r="M70" s="216">
        <v>540.1</v>
      </c>
      <c r="N70" s="216">
        <v>454.9</v>
      </c>
      <c r="O70" s="216">
        <v>517.1</v>
      </c>
      <c r="P70" s="216">
        <v>899.7</v>
      </c>
      <c r="Q70" s="135">
        <f t="shared" si="3"/>
        <v>629.79</v>
      </c>
      <c r="R70" s="190">
        <v>0.113</v>
      </c>
      <c r="S70" s="216">
        <v>901</v>
      </c>
      <c r="T70" s="190">
        <v>0.113</v>
      </c>
      <c r="V70" s="8">
        <v>15.7</v>
      </c>
      <c r="W70" s="217">
        <f t="shared" ref="W70:W122" si="4">V70/100</f>
        <v>0.157</v>
      </c>
    </row>
    <row r="71" spans="1:23">
      <c r="A71" s="136">
        <v>492</v>
      </c>
      <c r="B71" s="186">
        <v>493</v>
      </c>
      <c r="C71" s="186">
        <v>307.5</v>
      </c>
      <c r="D71" s="215">
        <v>451.8</v>
      </c>
      <c r="E71" s="186">
        <v>613.4</v>
      </c>
      <c r="F71" s="186">
        <v>723.9</v>
      </c>
      <c r="G71" s="186">
        <v>431.1</v>
      </c>
      <c r="H71" s="186">
        <v>900.5</v>
      </c>
      <c r="I71" s="186">
        <v>611.5</v>
      </c>
      <c r="J71" s="186">
        <v>492.6</v>
      </c>
      <c r="K71" s="186">
        <v>493.7</v>
      </c>
      <c r="L71" s="186">
        <v>632.70000000000005</v>
      </c>
      <c r="M71" s="216">
        <v>541</v>
      </c>
      <c r="N71" s="216">
        <v>455.5</v>
      </c>
      <c r="O71" s="216">
        <v>517.9</v>
      </c>
      <c r="P71" s="216">
        <v>901.2</v>
      </c>
      <c r="Q71" s="135">
        <f t="shared" si="3"/>
        <v>630.84</v>
      </c>
      <c r="R71" s="190">
        <v>0.11</v>
      </c>
      <c r="S71" s="216">
        <v>902.9</v>
      </c>
      <c r="T71" s="190">
        <v>0.11</v>
      </c>
      <c r="V71" s="8">
        <v>16</v>
      </c>
      <c r="W71" s="217">
        <f t="shared" si="4"/>
        <v>0.16</v>
      </c>
    </row>
    <row r="72" spans="1:23">
      <c r="A72" s="136">
        <v>493</v>
      </c>
      <c r="B72" s="186">
        <v>494</v>
      </c>
      <c r="C72" s="186">
        <v>308.10000000000002</v>
      </c>
      <c r="D72" s="215">
        <v>452.8</v>
      </c>
      <c r="E72" s="186">
        <v>614.4</v>
      </c>
      <c r="F72" s="186">
        <v>725.1</v>
      </c>
      <c r="G72" s="186">
        <v>432.1</v>
      </c>
      <c r="H72" s="186">
        <v>902.5</v>
      </c>
      <c r="I72" s="186">
        <v>612.6</v>
      </c>
      <c r="J72" s="186">
        <v>493.5</v>
      </c>
      <c r="K72" s="186">
        <v>494.4</v>
      </c>
      <c r="L72" s="186">
        <v>633.79999999999995</v>
      </c>
      <c r="M72" s="216">
        <v>542</v>
      </c>
      <c r="N72" s="216">
        <v>456.2</v>
      </c>
      <c r="O72" s="216">
        <v>518.70000000000005</v>
      </c>
      <c r="P72" s="216">
        <v>902.4</v>
      </c>
      <c r="Q72" s="135">
        <f t="shared" si="3"/>
        <v>631.67999999999995</v>
      </c>
      <c r="R72" s="190">
        <v>0.107</v>
      </c>
      <c r="S72" s="216">
        <v>904.5</v>
      </c>
      <c r="T72" s="190">
        <v>0.107</v>
      </c>
      <c r="V72" s="8">
        <v>16.3</v>
      </c>
      <c r="W72" s="217">
        <f t="shared" si="4"/>
        <v>0.16300000000000001</v>
      </c>
    </row>
    <row r="73" spans="1:23">
      <c r="A73" s="136">
        <v>494</v>
      </c>
      <c r="B73" s="186">
        <v>495.1</v>
      </c>
      <c r="C73" s="186">
        <v>308.7</v>
      </c>
      <c r="D73" s="215">
        <v>453.6</v>
      </c>
      <c r="E73" s="186">
        <v>615.6</v>
      </c>
      <c r="F73" s="186">
        <v>726.8</v>
      </c>
      <c r="G73" s="186">
        <v>432.8</v>
      </c>
      <c r="H73" s="186">
        <v>904.5</v>
      </c>
      <c r="I73" s="186">
        <v>613.70000000000005</v>
      </c>
      <c r="J73" s="186">
        <v>494.3</v>
      </c>
      <c r="K73" s="186">
        <v>495.4</v>
      </c>
      <c r="L73" s="186">
        <v>635.1</v>
      </c>
      <c r="M73" s="216">
        <v>543</v>
      </c>
      <c r="N73" s="216">
        <v>456.9</v>
      </c>
      <c r="O73" s="216">
        <v>519.6</v>
      </c>
      <c r="P73" s="216">
        <v>904</v>
      </c>
      <c r="Q73" s="135">
        <f t="shared" si="3"/>
        <v>632.79999999999995</v>
      </c>
      <c r="R73" s="190">
        <v>0.10300000000000001</v>
      </c>
      <c r="S73" s="216">
        <v>906.3</v>
      </c>
      <c r="T73" s="190">
        <v>0.10300000000000001</v>
      </c>
      <c r="V73" s="8">
        <v>16.7</v>
      </c>
      <c r="W73" s="217">
        <f t="shared" si="4"/>
        <v>0.16699999999999998</v>
      </c>
    </row>
    <row r="74" spans="1:23">
      <c r="A74" s="136">
        <v>495</v>
      </c>
      <c r="B74" s="186">
        <v>496.1</v>
      </c>
      <c r="C74" s="186">
        <v>309.39999999999998</v>
      </c>
      <c r="D74" s="215">
        <v>454.6</v>
      </c>
      <c r="E74" s="186">
        <v>617</v>
      </c>
      <c r="F74" s="186">
        <v>728.3</v>
      </c>
      <c r="G74" s="186">
        <v>433.9</v>
      </c>
      <c r="H74" s="186">
        <v>906.5</v>
      </c>
      <c r="I74" s="186">
        <v>615.1</v>
      </c>
      <c r="J74" s="186">
        <v>495.6</v>
      </c>
      <c r="K74" s="186">
        <v>496.7</v>
      </c>
      <c r="L74" s="186">
        <v>636.29999999999995</v>
      </c>
      <c r="M74" s="216">
        <v>544.20000000000005</v>
      </c>
      <c r="N74" s="216">
        <v>457.8</v>
      </c>
      <c r="O74" s="216">
        <v>520.9</v>
      </c>
      <c r="P74" s="216">
        <v>906.1</v>
      </c>
      <c r="Q74" s="135">
        <f t="shared" si="3"/>
        <v>634.27</v>
      </c>
      <c r="R74" s="190">
        <v>0.1</v>
      </c>
      <c r="S74" s="216">
        <v>908</v>
      </c>
      <c r="T74" s="190">
        <v>0.1</v>
      </c>
      <c r="V74" s="8">
        <v>17</v>
      </c>
      <c r="W74" s="217">
        <f t="shared" si="4"/>
        <v>0.17</v>
      </c>
    </row>
    <row r="75" spans="1:23">
      <c r="A75" s="136">
        <v>496</v>
      </c>
      <c r="B75" s="186">
        <v>497.2</v>
      </c>
      <c r="C75" s="186">
        <v>310.10000000000002</v>
      </c>
      <c r="D75" s="215">
        <v>456</v>
      </c>
      <c r="E75" s="186">
        <v>618.5</v>
      </c>
      <c r="F75" s="186">
        <v>730</v>
      </c>
      <c r="G75" s="186">
        <v>435</v>
      </c>
      <c r="H75" s="186">
        <v>908.5</v>
      </c>
      <c r="I75" s="186">
        <v>616.5</v>
      </c>
      <c r="J75" s="186">
        <v>497</v>
      </c>
      <c r="K75" s="186">
        <v>497.9</v>
      </c>
      <c r="L75" s="186">
        <v>638.5</v>
      </c>
      <c r="M75" s="216">
        <v>545.6</v>
      </c>
      <c r="N75" s="216">
        <v>458.7</v>
      </c>
      <c r="O75" s="216">
        <v>522</v>
      </c>
      <c r="P75" s="216">
        <v>908.2</v>
      </c>
      <c r="Q75" s="135">
        <f t="shared" si="3"/>
        <v>635.74</v>
      </c>
      <c r="R75" s="190">
        <v>9.6999999999999989E-2</v>
      </c>
      <c r="S75" s="216">
        <v>910</v>
      </c>
      <c r="T75" s="190">
        <v>9.6999999999999989E-2</v>
      </c>
      <c r="V75" s="8">
        <v>17.3</v>
      </c>
      <c r="W75" s="217">
        <f t="shared" si="4"/>
        <v>0.17300000000000001</v>
      </c>
    </row>
    <row r="76" spans="1:23">
      <c r="A76" s="136">
        <v>497</v>
      </c>
      <c r="B76" s="186">
        <v>498</v>
      </c>
      <c r="C76" s="186">
        <v>310.8</v>
      </c>
      <c r="D76" s="215">
        <v>456.7</v>
      </c>
      <c r="E76" s="186">
        <v>619.70000000000005</v>
      </c>
      <c r="F76" s="186">
        <v>731.5</v>
      </c>
      <c r="G76" s="186">
        <v>436</v>
      </c>
      <c r="H76" s="186">
        <v>910</v>
      </c>
      <c r="I76" s="186">
        <v>617.5</v>
      </c>
      <c r="J76" s="186">
        <v>497.7</v>
      </c>
      <c r="K76" s="186">
        <v>498.7</v>
      </c>
      <c r="L76" s="186">
        <v>639.6</v>
      </c>
      <c r="M76" s="216">
        <v>546.5</v>
      </c>
      <c r="N76" s="216">
        <v>459.4</v>
      </c>
      <c r="O76" s="216">
        <v>523</v>
      </c>
      <c r="P76" s="216">
        <v>910.1</v>
      </c>
      <c r="Q76" s="135">
        <f t="shared" si="3"/>
        <v>637.06999999999994</v>
      </c>
      <c r="R76" s="190">
        <v>9.3000000000000013E-2</v>
      </c>
      <c r="S76" s="216">
        <v>911.7</v>
      </c>
      <c r="T76" s="190">
        <v>9.3000000000000013E-2</v>
      </c>
      <c r="V76" s="8">
        <v>17.7</v>
      </c>
      <c r="W76" s="217">
        <f t="shared" si="4"/>
        <v>0.17699999999999999</v>
      </c>
    </row>
    <row r="77" spans="1:23">
      <c r="A77" s="136">
        <v>498</v>
      </c>
      <c r="B77" s="186">
        <v>498.8</v>
      </c>
      <c r="C77" s="186">
        <v>311.3</v>
      </c>
      <c r="D77" s="215">
        <v>457.3</v>
      </c>
      <c r="E77" s="186">
        <v>620.5</v>
      </c>
      <c r="F77" s="186">
        <v>732.9</v>
      </c>
      <c r="G77" s="186">
        <v>436.5</v>
      </c>
      <c r="H77" s="186">
        <v>911.5</v>
      </c>
      <c r="I77" s="186">
        <v>618.5</v>
      </c>
      <c r="J77" s="186">
        <v>498.4</v>
      </c>
      <c r="K77" s="186">
        <v>499.6</v>
      </c>
      <c r="L77" s="186">
        <v>640.29999999999995</v>
      </c>
      <c r="M77" s="216">
        <v>547.4</v>
      </c>
      <c r="N77" s="216">
        <v>460</v>
      </c>
      <c r="O77" s="216">
        <v>523.79999999999995</v>
      </c>
      <c r="P77" s="216">
        <v>911.1</v>
      </c>
      <c r="Q77" s="135">
        <f t="shared" si="3"/>
        <v>637.77</v>
      </c>
      <c r="R77" s="190">
        <v>0.09</v>
      </c>
      <c r="S77" s="216">
        <v>913.4</v>
      </c>
      <c r="T77" s="190">
        <v>0.09</v>
      </c>
      <c r="V77" s="8">
        <v>18</v>
      </c>
      <c r="W77" s="217">
        <f t="shared" si="4"/>
        <v>0.18</v>
      </c>
    </row>
    <row r="78" spans="1:23">
      <c r="A78" s="136">
        <v>499</v>
      </c>
      <c r="B78" s="186">
        <v>499.8</v>
      </c>
      <c r="C78" s="186">
        <v>311.8</v>
      </c>
      <c r="D78" s="215">
        <v>458.1</v>
      </c>
      <c r="E78" s="186">
        <v>621.70000000000005</v>
      </c>
      <c r="F78" s="186">
        <v>734.1</v>
      </c>
      <c r="G78" s="186">
        <v>437.2</v>
      </c>
      <c r="H78" s="186">
        <v>913.5</v>
      </c>
      <c r="I78" s="186">
        <v>619.9</v>
      </c>
      <c r="J78" s="186">
        <v>499.4</v>
      </c>
      <c r="K78" s="186">
        <v>500.5</v>
      </c>
      <c r="L78" s="186">
        <v>641.20000000000005</v>
      </c>
      <c r="M78" s="216">
        <v>548.4</v>
      </c>
      <c r="N78" s="216">
        <v>460.7</v>
      </c>
      <c r="O78" s="216">
        <v>524.6</v>
      </c>
      <c r="P78" s="216">
        <v>912.7</v>
      </c>
      <c r="Q78" s="135">
        <f t="shared" si="3"/>
        <v>638.89</v>
      </c>
      <c r="R78" s="190">
        <v>8.6999999999999994E-2</v>
      </c>
      <c r="S78" s="216">
        <v>915.3</v>
      </c>
      <c r="T78" s="190">
        <v>8.6999999999999994E-2</v>
      </c>
      <c r="V78" s="8">
        <v>18.5</v>
      </c>
      <c r="W78" s="217">
        <f t="shared" si="4"/>
        <v>0.185</v>
      </c>
    </row>
    <row r="79" spans="1:23">
      <c r="A79" s="136">
        <v>500</v>
      </c>
      <c r="B79" s="186">
        <v>501</v>
      </c>
      <c r="C79" s="186">
        <v>312.60000000000002</v>
      </c>
      <c r="D79" s="215">
        <v>459.3</v>
      </c>
      <c r="E79" s="186">
        <v>623.5</v>
      </c>
      <c r="F79" s="186">
        <v>735.6</v>
      </c>
      <c r="G79" s="186">
        <v>438.1</v>
      </c>
      <c r="H79" s="186">
        <v>915.5</v>
      </c>
      <c r="I79" s="186">
        <v>621.29999999999995</v>
      </c>
      <c r="J79" s="186">
        <v>500.3</v>
      </c>
      <c r="K79" s="186">
        <v>501.6</v>
      </c>
      <c r="L79" s="186">
        <v>642.79999999999995</v>
      </c>
      <c r="M79" s="216">
        <v>549.6</v>
      </c>
      <c r="N79" s="216">
        <v>461.7</v>
      </c>
      <c r="O79" s="216">
        <v>525.70000000000005</v>
      </c>
      <c r="P79" s="216">
        <v>915.1</v>
      </c>
      <c r="Q79" s="135">
        <f t="shared" si="3"/>
        <v>640.56999999999994</v>
      </c>
      <c r="R79" s="190">
        <v>8.3000000000000004E-2</v>
      </c>
      <c r="S79" s="216">
        <v>917.2</v>
      </c>
      <c r="T79" s="190">
        <v>8.3000000000000004E-2</v>
      </c>
      <c r="V79" s="8">
        <v>19</v>
      </c>
      <c r="W79" s="217">
        <f t="shared" si="4"/>
        <v>0.19</v>
      </c>
    </row>
    <row r="80" spans="1:23">
      <c r="A80" s="136">
        <v>501</v>
      </c>
      <c r="B80" s="186">
        <v>502</v>
      </c>
      <c r="C80" s="186">
        <v>313.10000000000002</v>
      </c>
      <c r="D80" s="215">
        <v>460</v>
      </c>
      <c r="E80" s="186">
        <v>624.5</v>
      </c>
      <c r="F80" s="186">
        <v>736.9</v>
      </c>
      <c r="G80" s="186">
        <v>439</v>
      </c>
      <c r="H80" s="186">
        <v>917.5</v>
      </c>
      <c r="I80" s="186">
        <v>622.4</v>
      </c>
      <c r="J80" s="186">
        <v>501.7</v>
      </c>
      <c r="K80" s="186">
        <v>502.8</v>
      </c>
      <c r="L80" s="186">
        <v>644.1</v>
      </c>
      <c r="M80" s="216">
        <v>550.9</v>
      </c>
      <c r="N80" s="216">
        <v>462.5</v>
      </c>
      <c r="O80" s="216">
        <v>526.70000000000005</v>
      </c>
      <c r="P80" s="216">
        <v>917.1</v>
      </c>
      <c r="Q80" s="135">
        <f t="shared" si="3"/>
        <v>641.97</v>
      </c>
      <c r="R80" s="190">
        <v>0.08</v>
      </c>
      <c r="S80" s="216">
        <v>919.1</v>
      </c>
      <c r="T80" s="190">
        <v>0.08</v>
      </c>
      <c r="V80" s="8">
        <v>19.5</v>
      </c>
      <c r="W80" s="217">
        <f t="shared" si="4"/>
        <v>0.19500000000000001</v>
      </c>
    </row>
    <row r="81" spans="1:23">
      <c r="A81" s="136">
        <v>502</v>
      </c>
      <c r="B81" s="186">
        <v>503.1</v>
      </c>
      <c r="C81" s="186">
        <v>313.8</v>
      </c>
      <c r="D81" s="215">
        <v>461.1</v>
      </c>
      <c r="E81" s="186">
        <v>625.70000000000005</v>
      </c>
      <c r="F81" s="186">
        <v>738.5</v>
      </c>
      <c r="G81" s="186">
        <v>440</v>
      </c>
      <c r="H81" s="186">
        <v>919</v>
      </c>
      <c r="I81" s="186">
        <v>623.70000000000005</v>
      </c>
      <c r="J81" s="186">
        <v>502.5</v>
      </c>
      <c r="K81" s="186">
        <v>503.8</v>
      </c>
      <c r="L81" s="186">
        <v>645.6</v>
      </c>
      <c r="M81" s="216">
        <v>551.79999999999995</v>
      </c>
      <c r="N81" s="216">
        <v>463.3</v>
      </c>
      <c r="O81" s="216">
        <v>527.79999999999995</v>
      </c>
      <c r="P81" s="216">
        <v>919.6</v>
      </c>
      <c r="Q81" s="135">
        <f t="shared" si="3"/>
        <v>643.72</v>
      </c>
      <c r="R81" s="190">
        <v>7.6999999999999999E-2</v>
      </c>
      <c r="S81" s="216">
        <v>921</v>
      </c>
      <c r="T81" s="190">
        <v>7.6999999999999999E-2</v>
      </c>
      <c r="V81" s="8">
        <v>20</v>
      </c>
      <c r="W81" s="217">
        <f t="shared" si="4"/>
        <v>0.2</v>
      </c>
    </row>
    <row r="82" spans="1:23">
      <c r="A82" s="136">
        <v>503</v>
      </c>
      <c r="B82" s="186">
        <v>504</v>
      </c>
      <c r="C82" s="186">
        <v>314.3</v>
      </c>
      <c r="D82" s="215">
        <v>461.7</v>
      </c>
      <c r="E82" s="186">
        <v>626.79999999999995</v>
      </c>
      <c r="F82" s="186">
        <v>739.9</v>
      </c>
      <c r="G82" s="186">
        <v>440.7</v>
      </c>
      <c r="H82" s="186">
        <v>920.5</v>
      </c>
      <c r="I82" s="186">
        <v>624.9</v>
      </c>
      <c r="J82" s="186">
        <v>503.4</v>
      </c>
      <c r="K82" s="186">
        <v>504.5</v>
      </c>
      <c r="L82" s="186">
        <v>646.5</v>
      </c>
      <c r="M82" s="216">
        <v>553.1</v>
      </c>
      <c r="N82" s="216">
        <v>464</v>
      </c>
      <c r="O82" s="216">
        <v>528.70000000000005</v>
      </c>
      <c r="P82" s="216">
        <v>921</v>
      </c>
      <c r="Q82" s="135">
        <f t="shared" si="3"/>
        <v>644.69999999999993</v>
      </c>
      <c r="R82" s="190">
        <v>7.2999999999999995E-2</v>
      </c>
      <c r="S82" s="216">
        <v>923</v>
      </c>
      <c r="T82" s="190">
        <v>7.2999999999999995E-2</v>
      </c>
      <c r="V82" s="8">
        <v>20.5</v>
      </c>
      <c r="W82" s="217">
        <f t="shared" si="4"/>
        <v>0.20499999999999999</v>
      </c>
    </row>
    <row r="83" spans="1:23">
      <c r="A83" s="136">
        <v>504</v>
      </c>
      <c r="B83" s="186">
        <v>505</v>
      </c>
      <c r="C83" s="186">
        <v>314.89999999999998</v>
      </c>
      <c r="D83" s="215">
        <v>462.7</v>
      </c>
      <c r="E83" s="186">
        <v>628.20000000000005</v>
      </c>
      <c r="F83" s="186">
        <v>741.1</v>
      </c>
      <c r="G83" s="186">
        <v>441.6</v>
      </c>
      <c r="H83" s="186">
        <v>922.5</v>
      </c>
      <c r="I83" s="186">
        <v>626.29999999999995</v>
      </c>
      <c r="J83" s="186">
        <v>504.3</v>
      </c>
      <c r="K83" s="186">
        <v>505.5</v>
      </c>
      <c r="L83" s="186">
        <v>647.70000000000005</v>
      </c>
      <c r="M83" s="216">
        <v>554.20000000000005</v>
      </c>
      <c r="N83" s="216">
        <v>464.8</v>
      </c>
      <c r="O83" s="216">
        <v>529.79999999999995</v>
      </c>
      <c r="P83" s="216">
        <v>923.1</v>
      </c>
      <c r="Q83" s="135">
        <f t="shared" si="3"/>
        <v>646.16999999999996</v>
      </c>
      <c r="R83" s="190">
        <v>7.0000000000000007E-2</v>
      </c>
      <c r="S83" s="216">
        <v>925</v>
      </c>
      <c r="T83" s="190">
        <v>7.0000000000000007E-2</v>
      </c>
      <c r="V83" s="8">
        <v>21</v>
      </c>
      <c r="W83" s="217">
        <f t="shared" si="4"/>
        <v>0.21</v>
      </c>
    </row>
    <row r="84" spans="1:23">
      <c r="A84" s="136">
        <v>505</v>
      </c>
      <c r="B84" s="186">
        <v>505.9</v>
      </c>
      <c r="C84" s="186">
        <v>315.5</v>
      </c>
      <c r="D84" s="215">
        <v>463.5</v>
      </c>
      <c r="E84" s="186">
        <v>629.5</v>
      </c>
      <c r="F84" s="186">
        <v>742.5</v>
      </c>
      <c r="G84" s="186">
        <v>442.3</v>
      </c>
      <c r="H84" s="186">
        <v>924.5</v>
      </c>
      <c r="I84" s="186">
        <v>627.4</v>
      </c>
      <c r="J84" s="186">
        <v>505.3</v>
      </c>
      <c r="K84" s="186">
        <v>506.5</v>
      </c>
      <c r="L84" s="186">
        <v>648.79999999999995</v>
      </c>
      <c r="M84" s="216">
        <v>555.20000000000005</v>
      </c>
      <c r="N84" s="216">
        <v>465.4</v>
      </c>
      <c r="O84" s="216">
        <v>530.6</v>
      </c>
      <c r="P84" s="216">
        <v>924.7</v>
      </c>
      <c r="Q84" s="135">
        <f t="shared" si="3"/>
        <v>647.29</v>
      </c>
      <c r="R84" s="190">
        <v>6.7000000000000004E-2</v>
      </c>
      <c r="S84" s="216">
        <v>927</v>
      </c>
      <c r="T84" s="190">
        <v>6.7000000000000004E-2</v>
      </c>
      <c r="V84" s="8">
        <v>21.3</v>
      </c>
      <c r="W84" s="217">
        <f t="shared" si="4"/>
        <v>0.21299999999999999</v>
      </c>
    </row>
    <row r="85" spans="1:23">
      <c r="A85" s="136">
        <v>506</v>
      </c>
      <c r="B85" s="186">
        <v>506.8</v>
      </c>
      <c r="C85" s="186">
        <v>316.3</v>
      </c>
      <c r="D85" s="215">
        <v>464.8</v>
      </c>
      <c r="E85" s="186">
        <v>630.9</v>
      </c>
      <c r="F85" s="186">
        <v>743.9</v>
      </c>
      <c r="G85" s="186">
        <v>443.4</v>
      </c>
      <c r="H85" s="186">
        <v>926.5</v>
      </c>
      <c r="I85" s="186">
        <v>629</v>
      </c>
      <c r="J85" s="186">
        <v>506.5</v>
      </c>
      <c r="K85" s="186">
        <v>507.7</v>
      </c>
      <c r="L85" s="186">
        <v>650.79999999999995</v>
      </c>
      <c r="M85" s="216">
        <v>556.5</v>
      </c>
      <c r="N85" s="216">
        <v>466.4</v>
      </c>
      <c r="O85" s="216">
        <v>531.9</v>
      </c>
      <c r="P85" s="216">
        <v>927</v>
      </c>
      <c r="Q85" s="135">
        <f t="shared" si="3"/>
        <v>648.9</v>
      </c>
      <c r="R85" s="190">
        <v>6.3E-2</v>
      </c>
      <c r="S85" s="216">
        <v>929</v>
      </c>
      <c r="T85" s="190">
        <v>6.3E-2</v>
      </c>
      <c r="V85" s="8">
        <v>21.7</v>
      </c>
      <c r="W85" s="217">
        <f t="shared" si="4"/>
        <v>0.217</v>
      </c>
    </row>
    <row r="86" spans="1:23">
      <c r="A86" s="136">
        <v>507</v>
      </c>
      <c r="B86" s="186">
        <v>507.7</v>
      </c>
      <c r="C86" s="186">
        <v>316.89999999999998</v>
      </c>
      <c r="D86" s="215">
        <v>465.6</v>
      </c>
      <c r="E86" s="186">
        <v>632.29999999999995</v>
      </c>
      <c r="F86" s="186">
        <v>745.4</v>
      </c>
      <c r="G86" s="186">
        <v>444.5</v>
      </c>
      <c r="H86" s="186">
        <v>928.5</v>
      </c>
      <c r="I86" s="186">
        <v>630.1</v>
      </c>
      <c r="J86" s="186">
        <v>507.8</v>
      </c>
      <c r="K86" s="186">
        <v>508.9</v>
      </c>
      <c r="L86" s="186">
        <v>651.79999999999995</v>
      </c>
      <c r="M86" s="216">
        <v>557.5</v>
      </c>
      <c r="N86" s="216">
        <v>467.3</v>
      </c>
      <c r="O86" s="216">
        <v>533.1</v>
      </c>
      <c r="P86" s="216">
        <v>929.1</v>
      </c>
      <c r="Q86" s="135">
        <f t="shared" si="3"/>
        <v>650.37</v>
      </c>
      <c r="R86" s="190">
        <v>0.06</v>
      </c>
      <c r="S86" s="216">
        <v>931</v>
      </c>
      <c r="T86" s="190">
        <v>0.06</v>
      </c>
      <c r="V86" s="8">
        <v>22</v>
      </c>
      <c r="W86" s="217">
        <f t="shared" si="4"/>
        <v>0.22</v>
      </c>
    </row>
    <row r="87" spans="1:23">
      <c r="A87" s="136">
        <v>508</v>
      </c>
      <c r="B87" s="186">
        <v>508.7</v>
      </c>
      <c r="C87" s="186">
        <v>317.5</v>
      </c>
      <c r="D87" s="215">
        <v>466.5</v>
      </c>
      <c r="E87" s="186">
        <v>633.6</v>
      </c>
      <c r="F87" s="186">
        <v>746.9</v>
      </c>
      <c r="G87" s="186">
        <v>445.3</v>
      </c>
      <c r="H87" s="186">
        <v>930</v>
      </c>
      <c r="I87" s="186">
        <v>631.29999999999995</v>
      </c>
      <c r="J87" s="186">
        <v>508.8</v>
      </c>
      <c r="K87" s="186">
        <v>510.1</v>
      </c>
      <c r="L87" s="186">
        <v>653</v>
      </c>
      <c r="M87" s="216">
        <v>558.5</v>
      </c>
      <c r="N87" s="216">
        <v>468</v>
      </c>
      <c r="O87" s="216">
        <v>534</v>
      </c>
      <c r="P87" s="216">
        <v>931</v>
      </c>
      <c r="Q87" s="135">
        <f t="shared" si="3"/>
        <v>651.69999999999993</v>
      </c>
      <c r="R87" s="190">
        <v>5.7000000000000002E-2</v>
      </c>
      <c r="S87" s="216">
        <v>933</v>
      </c>
      <c r="T87" s="190">
        <v>5.7000000000000002E-2</v>
      </c>
      <c r="V87" s="8">
        <v>22.5</v>
      </c>
      <c r="W87" s="217">
        <f t="shared" si="4"/>
        <v>0.22500000000000001</v>
      </c>
    </row>
    <row r="88" spans="1:23">
      <c r="A88" s="136">
        <v>509</v>
      </c>
      <c r="B88" s="186">
        <v>509.9</v>
      </c>
      <c r="C88" s="186">
        <v>318.3</v>
      </c>
      <c r="D88" s="215">
        <v>467.7</v>
      </c>
      <c r="E88" s="186">
        <v>635</v>
      </c>
      <c r="F88" s="186">
        <v>748.6</v>
      </c>
      <c r="G88" s="186">
        <v>446.4</v>
      </c>
      <c r="H88" s="186">
        <v>932</v>
      </c>
      <c r="I88" s="186">
        <v>632.79999999999995</v>
      </c>
      <c r="J88" s="186">
        <v>510.1</v>
      </c>
      <c r="K88" s="186">
        <v>511.4</v>
      </c>
      <c r="L88" s="186">
        <v>654.6</v>
      </c>
      <c r="M88" s="216">
        <v>560</v>
      </c>
      <c r="N88" s="216">
        <v>468.9</v>
      </c>
      <c r="O88" s="216">
        <v>535.20000000000005</v>
      </c>
      <c r="P88" s="216">
        <v>933.1</v>
      </c>
      <c r="Q88" s="135">
        <f t="shared" si="3"/>
        <v>653.16999999999996</v>
      </c>
      <c r="R88" s="190">
        <v>5.2999999999999999E-2</v>
      </c>
      <c r="S88" s="216">
        <v>935</v>
      </c>
      <c r="T88" s="190">
        <v>5.2999999999999999E-2</v>
      </c>
      <c r="V88" s="8">
        <v>23</v>
      </c>
      <c r="W88" s="217">
        <f t="shared" si="4"/>
        <v>0.23</v>
      </c>
    </row>
    <row r="89" spans="1:23">
      <c r="A89" s="136">
        <v>510</v>
      </c>
      <c r="B89" s="186">
        <v>511</v>
      </c>
      <c r="C89" s="186">
        <v>318.89999999999998</v>
      </c>
      <c r="D89" s="215">
        <v>468.6</v>
      </c>
      <c r="E89" s="186">
        <v>636.20000000000005</v>
      </c>
      <c r="F89" s="186">
        <v>749.9</v>
      </c>
      <c r="G89" s="186">
        <v>447.2</v>
      </c>
      <c r="H89" s="186">
        <v>934</v>
      </c>
      <c r="I89" s="186">
        <v>634</v>
      </c>
      <c r="J89" s="186">
        <v>511.1</v>
      </c>
      <c r="K89" s="186">
        <v>512.5</v>
      </c>
      <c r="L89" s="186">
        <v>656</v>
      </c>
      <c r="M89" s="216">
        <v>561</v>
      </c>
      <c r="N89" s="216">
        <v>469.8</v>
      </c>
      <c r="O89" s="216">
        <v>536.4</v>
      </c>
      <c r="P89" s="216">
        <v>935.1</v>
      </c>
      <c r="Q89" s="135">
        <f t="shared" si="3"/>
        <v>654.56999999999994</v>
      </c>
      <c r="R89" s="190">
        <v>0.05</v>
      </c>
      <c r="S89" s="216">
        <v>937</v>
      </c>
      <c r="T89" s="190">
        <v>0.05</v>
      </c>
      <c r="V89" s="8">
        <v>23.5</v>
      </c>
      <c r="W89" s="217">
        <f t="shared" si="4"/>
        <v>0.23499999999999999</v>
      </c>
    </row>
    <row r="90" spans="1:23">
      <c r="A90" s="136">
        <v>511</v>
      </c>
      <c r="B90" s="186">
        <v>512</v>
      </c>
      <c r="C90" s="186">
        <v>319.5</v>
      </c>
      <c r="D90" s="215">
        <v>469.4</v>
      </c>
      <c r="E90" s="186">
        <v>637.4</v>
      </c>
      <c r="F90" s="186">
        <v>751.3</v>
      </c>
      <c r="G90" s="186">
        <v>448.1</v>
      </c>
      <c r="H90" s="186">
        <v>936</v>
      </c>
      <c r="I90" s="186">
        <v>635.29999999999995</v>
      </c>
      <c r="J90" s="186">
        <v>512.20000000000005</v>
      </c>
      <c r="K90" s="186">
        <v>513.5</v>
      </c>
      <c r="L90" s="186">
        <v>657.1</v>
      </c>
      <c r="M90" s="216">
        <v>562</v>
      </c>
      <c r="N90" s="216">
        <v>470.4</v>
      </c>
      <c r="O90" s="216">
        <v>537.20000000000005</v>
      </c>
      <c r="P90" s="216">
        <v>936.4</v>
      </c>
      <c r="Q90" s="135">
        <f t="shared" si="3"/>
        <v>655.4799999999999</v>
      </c>
      <c r="R90" s="190">
        <v>4.7E-2</v>
      </c>
      <c r="S90" s="216">
        <v>939</v>
      </c>
      <c r="T90" s="190">
        <v>4.7E-2</v>
      </c>
      <c r="V90" s="8">
        <v>24</v>
      </c>
      <c r="W90" s="217">
        <f t="shared" si="4"/>
        <v>0.24</v>
      </c>
    </row>
    <row r="91" spans="1:23">
      <c r="A91" s="136">
        <v>512</v>
      </c>
      <c r="B91" s="186">
        <v>513.1</v>
      </c>
      <c r="C91" s="186">
        <v>320.3</v>
      </c>
      <c r="D91" s="215">
        <v>470.7</v>
      </c>
      <c r="E91" s="186">
        <v>638.9</v>
      </c>
      <c r="F91" s="186">
        <v>753</v>
      </c>
      <c r="G91" s="186">
        <v>449.2</v>
      </c>
      <c r="H91" s="186">
        <v>938</v>
      </c>
      <c r="I91" s="186">
        <v>636.79999999999995</v>
      </c>
      <c r="J91" s="186">
        <v>513.20000000000005</v>
      </c>
      <c r="K91" s="186">
        <v>514.5</v>
      </c>
      <c r="L91" s="186">
        <v>658.5</v>
      </c>
      <c r="M91" s="216">
        <v>563</v>
      </c>
      <c r="N91" s="216">
        <v>471.4</v>
      </c>
      <c r="O91" s="216">
        <v>538.4</v>
      </c>
      <c r="P91" s="216">
        <v>938.5</v>
      </c>
      <c r="Q91" s="135">
        <f t="shared" si="3"/>
        <v>656.94999999999993</v>
      </c>
      <c r="R91" s="190">
        <v>4.2999999999999997E-2</v>
      </c>
      <c r="S91" s="216">
        <v>941</v>
      </c>
      <c r="T91" s="190">
        <v>4.2999999999999997E-2</v>
      </c>
      <c r="V91" s="8">
        <v>24.5</v>
      </c>
      <c r="W91" s="217">
        <f t="shared" si="4"/>
        <v>0.245</v>
      </c>
    </row>
    <row r="92" spans="1:23">
      <c r="A92" s="136">
        <v>513</v>
      </c>
      <c r="B92" s="186">
        <v>514</v>
      </c>
      <c r="C92" s="186">
        <v>320.89999999999998</v>
      </c>
      <c r="D92" s="215">
        <v>471.4</v>
      </c>
      <c r="E92" s="186">
        <v>640.20000000000005</v>
      </c>
      <c r="F92" s="186">
        <v>754.5</v>
      </c>
      <c r="G92" s="186">
        <v>450</v>
      </c>
      <c r="H92" s="186">
        <v>940</v>
      </c>
      <c r="I92" s="186">
        <v>637.79999999999995</v>
      </c>
      <c r="J92" s="186">
        <v>514.1</v>
      </c>
      <c r="K92" s="186">
        <v>515.4</v>
      </c>
      <c r="L92" s="186">
        <v>660</v>
      </c>
      <c r="M92" s="216">
        <v>564</v>
      </c>
      <c r="N92" s="216">
        <v>472.1</v>
      </c>
      <c r="O92" s="216">
        <v>539.4</v>
      </c>
      <c r="P92" s="216">
        <v>940.3</v>
      </c>
      <c r="Q92" s="135">
        <f t="shared" si="3"/>
        <v>658.20999999999992</v>
      </c>
      <c r="R92" s="190">
        <v>0.04</v>
      </c>
      <c r="S92" s="216">
        <v>943</v>
      </c>
      <c r="T92" s="190">
        <v>0.04</v>
      </c>
      <c r="V92" s="8">
        <v>25</v>
      </c>
      <c r="W92" s="217">
        <f t="shared" si="4"/>
        <v>0.25</v>
      </c>
    </row>
    <row r="93" spans="1:23">
      <c r="A93" s="136">
        <v>514</v>
      </c>
      <c r="B93" s="186">
        <v>515</v>
      </c>
      <c r="C93" s="186">
        <v>321.39999999999998</v>
      </c>
      <c r="D93" s="215">
        <v>472.1</v>
      </c>
      <c r="E93" s="186">
        <v>641.6</v>
      </c>
      <c r="F93" s="186">
        <v>755.9</v>
      </c>
      <c r="G93" s="186">
        <v>451</v>
      </c>
      <c r="H93" s="186">
        <v>942</v>
      </c>
      <c r="I93" s="186">
        <v>639</v>
      </c>
      <c r="J93" s="186">
        <v>515.20000000000005</v>
      </c>
      <c r="K93" s="186">
        <v>516.20000000000005</v>
      </c>
      <c r="L93" s="186">
        <v>661.1</v>
      </c>
      <c r="M93" s="216">
        <v>565</v>
      </c>
      <c r="N93" s="216">
        <v>473.2</v>
      </c>
      <c r="O93" s="216">
        <v>540.6</v>
      </c>
      <c r="P93" s="216">
        <v>942.7</v>
      </c>
      <c r="Q93" s="135">
        <f t="shared" si="3"/>
        <v>659.89</v>
      </c>
      <c r="R93" s="190">
        <v>3.7000000000000005E-2</v>
      </c>
      <c r="S93" s="216">
        <v>945</v>
      </c>
      <c r="T93" s="190">
        <v>3.7000000000000005E-2</v>
      </c>
      <c r="V93" s="8">
        <v>25.5</v>
      </c>
      <c r="W93" s="217">
        <f t="shared" si="4"/>
        <v>0.255</v>
      </c>
    </row>
    <row r="94" spans="1:23">
      <c r="A94" s="136">
        <v>515</v>
      </c>
      <c r="B94" s="186">
        <v>516.20000000000005</v>
      </c>
      <c r="C94" s="186">
        <v>322.10000000000002</v>
      </c>
      <c r="D94" s="215">
        <v>473.1</v>
      </c>
      <c r="E94" s="186">
        <v>643.20000000000005</v>
      </c>
      <c r="F94" s="186">
        <v>757.5</v>
      </c>
      <c r="G94" s="186">
        <v>452</v>
      </c>
      <c r="H94" s="186">
        <v>944</v>
      </c>
      <c r="I94" s="186">
        <v>640.79999999999995</v>
      </c>
      <c r="J94" s="186">
        <v>516.29999999999995</v>
      </c>
      <c r="K94" s="186">
        <v>517.70000000000005</v>
      </c>
      <c r="L94" s="186">
        <v>662.5</v>
      </c>
      <c r="M94" s="216">
        <v>566</v>
      </c>
      <c r="N94" s="216">
        <v>474</v>
      </c>
      <c r="O94" s="216">
        <v>541.79999999999995</v>
      </c>
      <c r="P94" s="216">
        <v>944.8</v>
      </c>
      <c r="Q94" s="135">
        <f t="shared" si="3"/>
        <v>661.3599999999999</v>
      </c>
      <c r="R94" s="190">
        <v>3.5000000000000003E-2</v>
      </c>
      <c r="S94" s="216">
        <v>947</v>
      </c>
      <c r="T94" s="190">
        <v>3.5000000000000003E-2</v>
      </c>
      <c r="V94" s="8">
        <v>26</v>
      </c>
      <c r="W94" s="217">
        <f t="shared" si="4"/>
        <v>0.26</v>
      </c>
    </row>
    <row r="95" spans="1:23">
      <c r="A95" s="136">
        <v>516</v>
      </c>
      <c r="B95" s="186">
        <v>517.20000000000005</v>
      </c>
      <c r="C95" s="186">
        <v>322.89999999999998</v>
      </c>
      <c r="D95" s="215">
        <v>474.4</v>
      </c>
      <c r="E95" s="186">
        <v>644.29999999999995</v>
      </c>
      <c r="F95" s="186">
        <v>758.9</v>
      </c>
      <c r="G95" s="186">
        <v>452.7</v>
      </c>
      <c r="H95" s="186">
        <v>946</v>
      </c>
      <c r="I95" s="186">
        <v>642.20000000000005</v>
      </c>
      <c r="J95" s="186">
        <v>517.5</v>
      </c>
      <c r="K95" s="186">
        <v>518.70000000000005</v>
      </c>
      <c r="L95" s="186">
        <v>664.2</v>
      </c>
      <c r="M95" s="216">
        <v>567</v>
      </c>
      <c r="N95" s="216">
        <v>474.9</v>
      </c>
      <c r="O95" s="216">
        <v>542.70000000000005</v>
      </c>
      <c r="P95" s="216">
        <v>946.9</v>
      </c>
      <c r="Q95" s="135">
        <f t="shared" si="3"/>
        <v>662.82999999999993</v>
      </c>
      <c r="R95" s="190">
        <v>3.3000000000000002E-2</v>
      </c>
      <c r="S95" s="216">
        <v>949</v>
      </c>
      <c r="T95" s="190">
        <v>3.3000000000000002E-2</v>
      </c>
      <c r="V95" s="8">
        <v>26.5</v>
      </c>
      <c r="W95" s="217">
        <f t="shared" si="4"/>
        <v>0.26500000000000001</v>
      </c>
    </row>
    <row r="96" spans="1:23">
      <c r="A96" s="136">
        <v>517</v>
      </c>
      <c r="B96" s="186">
        <v>518.1</v>
      </c>
      <c r="C96" s="186">
        <v>323.5</v>
      </c>
      <c r="D96" s="215">
        <v>475.3</v>
      </c>
      <c r="E96" s="186">
        <v>645.79999999999995</v>
      </c>
      <c r="F96" s="186">
        <v>760.4</v>
      </c>
      <c r="G96" s="186">
        <v>453.6</v>
      </c>
      <c r="H96" s="186">
        <v>948</v>
      </c>
      <c r="I96" s="186">
        <v>643.5</v>
      </c>
      <c r="J96" s="186">
        <v>518.70000000000005</v>
      </c>
      <c r="K96" s="186">
        <v>519.70000000000005</v>
      </c>
      <c r="L96" s="186">
        <v>665.4</v>
      </c>
      <c r="M96" s="216">
        <v>568.5</v>
      </c>
      <c r="N96" s="216">
        <v>475.6</v>
      </c>
      <c r="O96" s="216">
        <v>543.5</v>
      </c>
      <c r="P96" s="216">
        <v>948.4</v>
      </c>
      <c r="Q96" s="135">
        <f t="shared" si="3"/>
        <v>663.88</v>
      </c>
      <c r="R96" s="190">
        <v>0.03</v>
      </c>
      <c r="S96" s="216">
        <v>951</v>
      </c>
      <c r="T96" s="190">
        <v>0.03</v>
      </c>
      <c r="V96" s="8">
        <v>27</v>
      </c>
      <c r="W96" s="217">
        <f t="shared" si="4"/>
        <v>0.27</v>
      </c>
    </row>
    <row r="97" spans="1:23">
      <c r="A97" s="136">
        <v>518</v>
      </c>
      <c r="B97" s="186">
        <v>519.29999999999995</v>
      </c>
      <c r="C97" s="186">
        <v>324.10000000000002</v>
      </c>
      <c r="D97" s="215">
        <v>476.4</v>
      </c>
      <c r="E97" s="186">
        <v>647.29999999999995</v>
      </c>
      <c r="F97" s="186">
        <v>762</v>
      </c>
      <c r="G97" s="186">
        <v>454.6</v>
      </c>
      <c r="H97" s="186">
        <v>950</v>
      </c>
      <c r="I97" s="186">
        <v>645</v>
      </c>
      <c r="J97" s="186">
        <v>519.9</v>
      </c>
      <c r="K97" s="186">
        <v>521.20000000000005</v>
      </c>
      <c r="L97" s="186">
        <v>667</v>
      </c>
      <c r="M97" s="216">
        <v>570</v>
      </c>
      <c r="N97" s="216">
        <v>476.7</v>
      </c>
      <c r="O97" s="216">
        <v>545</v>
      </c>
      <c r="P97" s="216">
        <v>950.6</v>
      </c>
      <c r="Q97" s="135">
        <f t="shared" si="3"/>
        <v>665.42</v>
      </c>
      <c r="R97" s="190">
        <v>2.7000000000000003E-2</v>
      </c>
      <c r="S97" s="216">
        <v>953</v>
      </c>
      <c r="T97" s="190">
        <v>2.7000000000000003E-2</v>
      </c>
      <c r="V97" s="8">
        <v>27.5</v>
      </c>
      <c r="W97" s="217">
        <f t="shared" si="4"/>
        <v>0.27500000000000002</v>
      </c>
    </row>
    <row r="98" spans="1:23">
      <c r="A98" s="136">
        <v>519</v>
      </c>
      <c r="B98" s="186">
        <v>520.5</v>
      </c>
      <c r="C98" s="186">
        <v>324.8</v>
      </c>
      <c r="D98" s="215">
        <v>477.3</v>
      </c>
      <c r="E98" s="186">
        <v>648.29999999999995</v>
      </c>
      <c r="F98" s="186">
        <v>763.5</v>
      </c>
      <c r="G98" s="186">
        <v>455.6</v>
      </c>
      <c r="H98" s="186">
        <v>952</v>
      </c>
      <c r="I98" s="186">
        <v>646</v>
      </c>
      <c r="J98" s="186">
        <v>520.79999999999995</v>
      </c>
      <c r="K98" s="186">
        <v>522</v>
      </c>
      <c r="L98" s="186">
        <v>668.1</v>
      </c>
      <c r="M98" s="216">
        <v>571</v>
      </c>
      <c r="N98" s="216">
        <v>477.2</v>
      </c>
      <c r="O98" s="216">
        <v>545.79999999999995</v>
      </c>
      <c r="P98" s="216">
        <v>952.2</v>
      </c>
      <c r="Q98" s="135">
        <f t="shared" si="3"/>
        <v>666.54</v>
      </c>
      <c r="R98" s="190">
        <v>2.5000000000000001E-2</v>
      </c>
      <c r="S98" s="216">
        <v>955</v>
      </c>
      <c r="T98" s="190">
        <v>2.5000000000000001E-2</v>
      </c>
      <c r="V98" s="8">
        <v>28</v>
      </c>
      <c r="W98" s="217">
        <f t="shared" si="4"/>
        <v>0.28000000000000003</v>
      </c>
    </row>
    <row r="99" spans="1:23">
      <c r="A99" s="136">
        <v>520</v>
      </c>
      <c r="B99" s="186">
        <v>521.5</v>
      </c>
      <c r="C99" s="186">
        <v>325.5</v>
      </c>
      <c r="D99" s="215">
        <v>478.3</v>
      </c>
      <c r="E99" s="186">
        <v>649.4</v>
      </c>
      <c r="F99" s="186">
        <v>764.7</v>
      </c>
      <c r="G99" s="186">
        <v>456.5</v>
      </c>
      <c r="H99" s="186">
        <v>954</v>
      </c>
      <c r="I99" s="186">
        <v>647</v>
      </c>
      <c r="J99" s="186">
        <v>521.70000000000005</v>
      </c>
      <c r="K99" s="186">
        <v>523</v>
      </c>
      <c r="L99" s="186">
        <v>669.5</v>
      </c>
      <c r="M99" s="216">
        <v>572</v>
      </c>
      <c r="N99" s="216">
        <v>478</v>
      </c>
      <c r="O99" s="216">
        <v>546.79999999999995</v>
      </c>
      <c r="P99" s="216">
        <v>954</v>
      </c>
      <c r="Q99" s="135">
        <f t="shared" si="3"/>
        <v>667.8</v>
      </c>
      <c r="R99" s="190">
        <v>2.3E-2</v>
      </c>
      <c r="S99" s="216">
        <v>957</v>
      </c>
      <c r="T99" s="190">
        <v>2.3E-2</v>
      </c>
      <c r="V99" s="8">
        <v>28.5</v>
      </c>
      <c r="W99" s="217">
        <f t="shared" si="4"/>
        <v>0.28499999999999998</v>
      </c>
    </row>
    <row r="100" spans="1:23">
      <c r="A100" s="136">
        <v>521</v>
      </c>
      <c r="B100" s="186">
        <v>522.6</v>
      </c>
      <c r="C100" s="186">
        <v>326.10000000000002</v>
      </c>
      <c r="D100" s="215">
        <v>479.4</v>
      </c>
      <c r="E100" s="186">
        <v>650.9</v>
      </c>
      <c r="F100" s="186">
        <v>766.2</v>
      </c>
      <c r="G100" s="186">
        <v>457.6</v>
      </c>
      <c r="H100" s="186">
        <v>956</v>
      </c>
      <c r="I100" s="186">
        <v>648</v>
      </c>
      <c r="J100" s="186">
        <v>522.9</v>
      </c>
      <c r="K100" s="186">
        <v>524.20000000000005</v>
      </c>
      <c r="L100" s="186">
        <v>671</v>
      </c>
      <c r="M100" s="216">
        <v>573</v>
      </c>
      <c r="N100" s="216">
        <v>478.9</v>
      </c>
      <c r="O100" s="216">
        <v>547.79999999999995</v>
      </c>
      <c r="P100" s="216">
        <v>955.8</v>
      </c>
      <c r="Q100" s="135">
        <f t="shared" si="3"/>
        <v>669.06</v>
      </c>
      <c r="R100" s="190">
        <v>0.02</v>
      </c>
      <c r="S100" s="216">
        <v>959</v>
      </c>
      <c r="T100" s="190">
        <v>0.02</v>
      </c>
      <c r="V100" s="8">
        <v>29</v>
      </c>
      <c r="W100" s="217">
        <f t="shared" si="4"/>
        <v>0.28999999999999998</v>
      </c>
    </row>
    <row r="101" spans="1:23">
      <c r="A101" s="136">
        <v>522</v>
      </c>
      <c r="B101" s="186">
        <v>523.4</v>
      </c>
      <c r="C101" s="186">
        <v>326.7</v>
      </c>
      <c r="D101" s="215">
        <v>480.2</v>
      </c>
      <c r="E101" s="186">
        <v>652</v>
      </c>
      <c r="F101" s="186">
        <v>767.5</v>
      </c>
      <c r="G101" s="186">
        <v>458.4</v>
      </c>
      <c r="H101" s="186">
        <v>958</v>
      </c>
      <c r="I101" s="186">
        <v>649.20000000000005</v>
      </c>
      <c r="J101" s="186">
        <v>523.9</v>
      </c>
      <c r="K101" s="186">
        <v>525.20000000000005</v>
      </c>
      <c r="L101" s="186">
        <v>672.2</v>
      </c>
      <c r="M101" s="216">
        <v>574.1</v>
      </c>
      <c r="N101" s="216">
        <v>479.5</v>
      </c>
      <c r="O101" s="216">
        <v>548.9</v>
      </c>
      <c r="P101" s="216">
        <v>957.6</v>
      </c>
      <c r="Q101" s="135">
        <f t="shared" ref="Q101:Q122" si="5">P101*0.7</f>
        <v>670.31999999999994</v>
      </c>
      <c r="R101" s="190">
        <v>1.8000000000000002E-2</v>
      </c>
      <c r="S101" s="216">
        <v>961</v>
      </c>
      <c r="T101" s="190">
        <v>1.8000000000000002E-2</v>
      </c>
      <c r="V101" s="8">
        <v>29.5</v>
      </c>
      <c r="W101" s="217">
        <f t="shared" si="4"/>
        <v>0.29499999999999998</v>
      </c>
    </row>
    <row r="102" spans="1:23">
      <c r="A102" s="136">
        <v>523</v>
      </c>
      <c r="B102" s="186">
        <v>524.20000000000005</v>
      </c>
      <c r="C102" s="186">
        <v>327.39999999999998</v>
      </c>
      <c r="D102" s="215">
        <v>481</v>
      </c>
      <c r="E102" s="186">
        <v>653.5</v>
      </c>
      <c r="F102" s="186">
        <v>768.9</v>
      </c>
      <c r="G102" s="186">
        <v>459.1</v>
      </c>
      <c r="H102" s="186">
        <v>960</v>
      </c>
      <c r="I102" s="186">
        <v>650.5</v>
      </c>
      <c r="J102" s="186">
        <v>525</v>
      </c>
      <c r="K102" s="186">
        <v>526.1</v>
      </c>
      <c r="L102" s="186">
        <v>673.2</v>
      </c>
      <c r="M102" s="216">
        <v>575.5</v>
      </c>
      <c r="N102" s="216">
        <v>480.4</v>
      </c>
      <c r="O102" s="216">
        <v>550</v>
      </c>
      <c r="P102" s="216">
        <v>959.8</v>
      </c>
      <c r="Q102" s="135">
        <f t="shared" si="5"/>
        <v>671.8599999999999</v>
      </c>
      <c r="R102" s="190">
        <v>1.6E-2</v>
      </c>
      <c r="S102" s="216">
        <v>963</v>
      </c>
      <c r="T102" s="190">
        <v>1.6E-2</v>
      </c>
      <c r="V102" s="8">
        <v>30</v>
      </c>
      <c r="W102" s="217">
        <f t="shared" si="4"/>
        <v>0.3</v>
      </c>
    </row>
    <row r="103" spans="1:23">
      <c r="A103" s="136">
        <v>524</v>
      </c>
      <c r="B103" s="186">
        <v>525.1</v>
      </c>
      <c r="C103" s="186">
        <v>328.1</v>
      </c>
      <c r="D103" s="215">
        <v>482</v>
      </c>
      <c r="E103" s="186">
        <v>654.79999999999995</v>
      </c>
      <c r="F103" s="186">
        <v>770.4</v>
      </c>
      <c r="G103" s="186">
        <v>459.8</v>
      </c>
      <c r="H103" s="186">
        <v>962</v>
      </c>
      <c r="I103" s="186">
        <v>652.20000000000005</v>
      </c>
      <c r="J103" s="186">
        <v>526</v>
      </c>
      <c r="K103" s="186">
        <v>527</v>
      </c>
      <c r="L103" s="186">
        <v>674.3</v>
      </c>
      <c r="M103" s="216">
        <v>577</v>
      </c>
      <c r="N103" s="216">
        <v>481.4</v>
      </c>
      <c r="O103" s="216">
        <v>551.20000000000005</v>
      </c>
      <c r="P103" s="216">
        <v>962</v>
      </c>
      <c r="Q103" s="135">
        <f t="shared" si="5"/>
        <v>673.4</v>
      </c>
      <c r="R103" s="190">
        <v>1.3999999999999999E-2</v>
      </c>
      <c r="S103" s="216">
        <v>965</v>
      </c>
      <c r="T103" s="190">
        <v>1.3999999999999999E-2</v>
      </c>
      <c r="V103" s="8">
        <v>30.5</v>
      </c>
      <c r="W103" s="217">
        <f t="shared" si="4"/>
        <v>0.30499999999999999</v>
      </c>
    </row>
    <row r="104" spans="1:23">
      <c r="A104" s="136">
        <v>525</v>
      </c>
      <c r="B104" s="186">
        <v>526.20000000000005</v>
      </c>
      <c r="C104" s="186">
        <v>328.8</v>
      </c>
      <c r="D104" s="215">
        <v>483</v>
      </c>
      <c r="E104" s="186">
        <v>656.3</v>
      </c>
      <c r="F104" s="186">
        <v>772.1</v>
      </c>
      <c r="G104" s="186">
        <v>460.8</v>
      </c>
      <c r="H104" s="186">
        <v>964</v>
      </c>
      <c r="I104" s="186">
        <v>653.70000000000005</v>
      </c>
      <c r="J104" s="186">
        <v>526.9</v>
      </c>
      <c r="K104" s="186">
        <v>528</v>
      </c>
      <c r="L104" s="186">
        <v>675.8</v>
      </c>
      <c r="M104" s="216">
        <v>578.5</v>
      </c>
      <c r="N104" s="216">
        <v>482.3</v>
      </c>
      <c r="O104" s="216">
        <v>552.4</v>
      </c>
      <c r="P104" s="216">
        <v>964.5</v>
      </c>
      <c r="Q104" s="135">
        <f t="shared" si="5"/>
        <v>675.15</v>
      </c>
      <c r="R104" s="190">
        <v>1.2E-2</v>
      </c>
      <c r="S104" s="216">
        <v>967</v>
      </c>
      <c r="T104" s="190">
        <v>1.2E-2</v>
      </c>
      <c r="V104" s="8">
        <v>31</v>
      </c>
      <c r="W104" s="217">
        <f t="shared" si="4"/>
        <v>0.31</v>
      </c>
    </row>
    <row r="105" spans="1:23">
      <c r="A105" s="136">
        <v>526</v>
      </c>
      <c r="B105" s="186">
        <v>527.29999999999995</v>
      </c>
      <c r="C105" s="186">
        <v>329.5</v>
      </c>
      <c r="D105" s="215">
        <v>484</v>
      </c>
      <c r="E105" s="186">
        <v>657.9</v>
      </c>
      <c r="F105" s="186">
        <v>774</v>
      </c>
      <c r="G105" s="186">
        <v>462</v>
      </c>
      <c r="H105" s="186">
        <v>966</v>
      </c>
      <c r="I105" s="186">
        <v>655.5</v>
      </c>
      <c r="J105" s="186">
        <v>528.4</v>
      </c>
      <c r="K105" s="186">
        <v>529.5</v>
      </c>
      <c r="L105" s="186">
        <v>677.5</v>
      </c>
      <c r="M105" s="216">
        <v>580</v>
      </c>
      <c r="N105" s="216">
        <v>483.3</v>
      </c>
      <c r="O105" s="216">
        <v>553.70000000000005</v>
      </c>
      <c r="P105" s="216">
        <v>967.3</v>
      </c>
      <c r="Q105" s="135">
        <f t="shared" si="5"/>
        <v>677.1099999999999</v>
      </c>
      <c r="R105" s="190">
        <v>0.01</v>
      </c>
      <c r="S105" s="216">
        <v>969</v>
      </c>
      <c r="T105" s="190">
        <v>0.01</v>
      </c>
      <c r="V105" s="8">
        <v>31.5</v>
      </c>
      <c r="W105" s="217">
        <f t="shared" si="4"/>
        <v>0.315</v>
      </c>
    </row>
    <row r="106" spans="1:23">
      <c r="A106" s="136">
        <v>527</v>
      </c>
      <c r="B106" s="186">
        <v>528.4</v>
      </c>
      <c r="C106" s="186">
        <v>330.2</v>
      </c>
      <c r="D106" s="215">
        <v>485</v>
      </c>
      <c r="E106" s="186">
        <v>659.4</v>
      </c>
      <c r="F106" s="186">
        <v>775.4</v>
      </c>
      <c r="G106" s="186">
        <v>463</v>
      </c>
      <c r="H106" s="186">
        <v>968</v>
      </c>
      <c r="I106" s="186">
        <v>657</v>
      </c>
      <c r="J106" s="186">
        <v>529.5</v>
      </c>
      <c r="K106" s="186">
        <v>530.70000000000005</v>
      </c>
      <c r="L106" s="186">
        <v>679.1</v>
      </c>
      <c r="M106" s="216">
        <v>581</v>
      </c>
      <c r="N106" s="216">
        <v>484.3</v>
      </c>
      <c r="O106" s="216">
        <v>555.4</v>
      </c>
      <c r="P106" s="216">
        <v>969.6</v>
      </c>
      <c r="Q106" s="135">
        <f t="shared" si="5"/>
        <v>678.72</v>
      </c>
      <c r="R106" s="190">
        <v>8.0000000000000002E-3</v>
      </c>
      <c r="S106" s="216">
        <v>971</v>
      </c>
      <c r="T106" s="190">
        <v>8.0000000000000002E-3</v>
      </c>
      <c r="V106" s="8">
        <v>32</v>
      </c>
      <c r="W106" s="217">
        <f t="shared" si="4"/>
        <v>0.32</v>
      </c>
    </row>
    <row r="107" spans="1:23">
      <c r="A107" s="136">
        <v>528</v>
      </c>
      <c r="B107" s="186">
        <v>529.4</v>
      </c>
      <c r="C107" s="186">
        <v>330.9</v>
      </c>
      <c r="D107" s="215">
        <v>486</v>
      </c>
      <c r="E107" s="186">
        <v>660.7</v>
      </c>
      <c r="F107" s="186">
        <v>776.7</v>
      </c>
      <c r="G107" s="186">
        <v>464</v>
      </c>
      <c r="H107" s="186">
        <v>970</v>
      </c>
      <c r="I107" s="186">
        <v>658</v>
      </c>
      <c r="J107" s="186">
        <v>530.5</v>
      </c>
      <c r="K107" s="186">
        <v>531.79999999999995</v>
      </c>
      <c r="L107" s="186">
        <v>680.5</v>
      </c>
      <c r="M107" s="216">
        <v>582</v>
      </c>
      <c r="N107" s="216">
        <v>485</v>
      </c>
      <c r="O107" s="216">
        <v>556.20000000000005</v>
      </c>
      <c r="P107" s="216">
        <v>971.1</v>
      </c>
      <c r="Q107" s="135">
        <f t="shared" si="5"/>
        <v>679.77</v>
      </c>
      <c r="R107" s="190">
        <v>6.0000000000000001E-3</v>
      </c>
      <c r="S107" s="216">
        <v>973</v>
      </c>
      <c r="T107" s="190">
        <v>6.0000000000000001E-3</v>
      </c>
      <c r="V107" s="8">
        <v>32.5</v>
      </c>
      <c r="W107" s="217">
        <f t="shared" si="4"/>
        <v>0.32500000000000001</v>
      </c>
    </row>
    <row r="108" spans="1:23">
      <c r="A108" s="136">
        <v>529</v>
      </c>
      <c r="B108" s="186">
        <v>530.4</v>
      </c>
      <c r="C108" s="186">
        <v>331.6</v>
      </c>
      <c r="D108" s="215">
        <v>487</v>
      </c>
      <c r="E108" s="186">
        <v>662</v>
      </c>
      <c r="F108" s="186">
        <v>778.1</v>
      </c>
      <c r="G108" s="186">
        <v>465</v>
      </c>
      <c r="H108" s="186">
        <v>972</v>
      </c>
      <c r="I108" s="186">
        <v>659</v>
      </c>
      <c r="J108" s="186">
        <v>531.6</v>
      </c>
      <c r="K108" s="186">
        <v>533</v>
      </c>
      <c r="L108" s="186">
        <v>681.7</v>
      </c>
      <c r="M108" s="216">
        <v>583</v>
      </c>
      <c r="N108" s="216">
        <v>485.7</v>
      </c>
      <c r="O108" s="216">
        <v>557</v>
      </c>
      <c r="P108" s="216">
        <v>972.8</v>
      </c>
      <c r="Q108" s="135">
        <f t="shared" si="5"/>
        <v>680.95999999999992</v>
      </c>
      <c r="R108" s="190">
        <v>5.0000000000000001E-3</v>
      </c>
      <c r="S108" s="216">
        <v>975</v>
      </c>
      <c r="T108" s="190">
        <v>5.0000000000000001E-3</v>
      </c>
      <c r="V108" s="8">
        <v>33</v>
      </c>
      <c r="W108" s="217">
        <f t="shared" si="4"/>
        <v>0.33</v>
      </c>
    </row>
    <row r="109" spans="1:23">
      <c r="A109" s="136">
        <v>530</v>
      </c>
      <c r="B109" s="186">
        <v>531.5</v>
      </c>
      <c r="C109" s="186">
        <v>332.3</v>
      </c>
      <c r="D109" s="215">
        <v>488.3</v>
      </c>
      <c r="E109" s="186">
        <v>663.5</v>
      </c>
      <c r="F109" s="186">
        <v>779.6</v>
      </c>
      <c r="G109" s="186">
        <v>466</v>
      </c>
      <c r="H109" s="186">
        <v>974</v>
      </c>
      <c r="I109" s="186">
        <v>660.5</v>
      </c>
      <c r="J109" s="186">
        <v>533</v>
      </c>
      <c r="K109" s="186">
        <v>534.20000000000005</v>
      </c>
      <c r="L109" s="186">
        <v>682.7</v>
      </c>
      <c r="M109" s="216">
        <v>584</v>
      </c>
      <c r="N109" s="216">
        <v>486.8</v>
      </c>
      <c r="O109" s="216">
        <v>558.20000000000005</v>
      </c>
      <c r="P109" s="216">
        <v>975.5</v>
      </c>
      <c r="Q109" s="135">
        <f t="shared" si="5"/>
        <v>682.84999999999991</v>
      </c>
      <c r="R109" s="190">
        <v>4.0000000000000001E-3</v>
      </c>
      <c r="S109" s="216">
        <v>977</v>
      </c>
      <c r="T109" s="190">
        <v>4.0000000000000001E-3</v>
      </c>
      <c r="V109" s="8">
        <v>33.5</v>
      </c>
      <c r="W109" s="217">
        <f t="shared" si="4"/>
        <v>0.33500000000000002</v>
      </c>
    </row>
    <row r="110" spans="1:23">
      <c r="A110" s="136">
        <v>531</v>
      </c>
      <c r="B110" s="186">
        <v>532.5</v>
      </c>
      <c r="C110" s="186">
        <v>333</v>
      </c>
      <c r="D110" s="215">
        <v>489.5</v>
      </c>
      <c r="E110" s="186">
        <v>665.2</v>
      </c>
      <c r="F110" s="186">
        <v>781.4</v>
      </c>
      <c r="G110" s="186">
        <v>467</v>
      </c>
      <c r="H110" s="186">
        <v>976</v>
      </c>
      <c r="I110" s="186">
        <v>662</v>
      </c>
      <c r="J110" s="186">
        <v>534.4</v>
      </c>
      <c r="K110" s="186">
        <v>535.20000000000005</v>
      </c>
      <c r="L110" s="186">
        <v>684.4</v>
      </c>
      <c r="M110" s="216">
        <v>585</v>
      </c>
      <c r="N110" s="216">
        <v>487.9</v>
      </c>
      <c r="O110" s="216">
        <v>559.79999999999995</v>
      </c>
      <c r="P110" s="216">
        <v>978</v>
      </c>
      <c r="Q110" s="135">
        <f t="shared" si="5"/>
        <v>684.59999999999991</v>
      </c>
      <c r="R110" s="190">
        <v>3.0000000000000001E-3</v>
      </c>
      <c r="S110" s="216">
        <v>979</v>
      </c>
      <c r="T110" s="190">
        <v>3.0000000000000001E-3</v>
      </c>
      <c r="V110" s="8">
        <v>34</v>
      </c>
      <c r="W110" s="217">
        <f t="shared" si="4"/>
        <v>0.34</v>
      </c>
    </row>
    <row r="111" spans="1:23">
      <c r="A111" s="136">
        <v>532</v>
      </c>
      <c r="B111" s="186">
        <v>533.5</v>
      </c>
      <c r="C111" s="186">
        <v>333.7</v>
      </c>
      <c r="D111" s="215">
        <v>490.5</v>
      </c>
      <c r="E111" s="186">
        <v>666.7</v>
      </c>
      <c r="F111" s="186">
        <v>783.2</v>
      </c>
      <c r="G111" s="186">
        <v>468</v>
      </c>
      <c r="H111" s="186">
        <v>978</v>
      </c>
      <c r="I111" s="186">
        <v>663.5</v>
      </c>
      <c r="J111" s="186">
        <v>535.5</v>
      </c>
      <c r="K111" s="186">
        <v>536.20000000000005</v>
      </c>
      <c r="L111" s="186">
        <v>686</v>
      </c>
      <c r="M111" s="216">
        <v>586.5</v>
      </c>
      <c r="N111" s="216">
        <v>488.7</v>
      </c>
      <c r="O111" s="216">
        <v>561</v>
      </c>
      <c r="P111" s="216">
        <v>980</v>
      </c>
      <c r="Q111" s="135">
        <f t="shared" si="5"/>
        <v>686</v>
      </c>
      <c r="R111" s="190">
        <v>2.7000000000000001E-3</v>
      </c>
      <c r="S111" s="216">
        <v>981</v>
      </c>
      <c r="T111" s="190">
        <v>2.7000000000000001E-3</v>
      </c>
      <c r="V111" s="8">
        <v>34.5</v>
      </c>
      <c r="W111" s="217">
        <f t="shared" si="4"/>
        <v>0.34499999999999997</v>
      </c>
    </row>
    <row r="112" spans="1:23">
      <c r="A112" s="136">
        <v>533</v>
      </c>
      <c r="B112" s="186">
        <v>534.70000000000005</v>
      </c>
      <c r="C112" s="186">
        <v>334.4</v>
      </c>
      <c r="D112" s="215">
        <v>491.2</v>
      </c>
      <c r="E112" s="186">
        <v>668</v>
      </c>
      <c r="F112" s="186">
        <v>784.6</v>
      </c>
      <c r="G112" s="186">
        <v>469</v>
      </c>
      <c r="H112" s="186">
        <v>980</v>
      </c>
      <c r="I112" s="186">
        <v>664.5</v>
      </c>
      <c r="J112" s="186">
        <v>536</v>
      </c>
      <c r="K112" s="186">
        <v>537.20000000000005</v>
      </c>
      <c r="L112" s="186">
        <v>687</v>
      </c>
      <c r="M112" s="216">
        <v>588</v>
      </c>
      <c r="N112" s="216">
        <v>489.2</v>
      </c>
      <c r="O112" s="216">
        <v>562</v>
      </c>
      <c r="P112" s="216">
        <v>982</v>
      </c>
      <c r="Q112" s="135">
        <f t="shared" si="5"/>
        <v>687.4</v>
      </c>
      <c r="R112" s="190">
        <v>2.3E-3</v>
      </c>
      <c r="S112" s="216">
        <v>982.5</v>
      </c>
      <c r="T112" s="190">
        <v>2.3E-3</v>
      </c>
      <c r="V112" s="8">
        <v>35</v>
      </c>
      <c r="W112" s="217">
        <f t="shared" si="4"/>
        <v>0.35</v>
      </c>
    </row>
    <row r="113" spans="1:23">
      <c r="A113" s="136">
        <v>534</v>
      </c>
      <c r="B113" s="186">
        <v>535.79999999999995</v>
      </c>
      <c r="C113" s="186">
        <v>335.1</v>
      </c>
      <c r="D113" s="215">
        <v>492</v>
      </c>
      <c r="E113" s="186">
        <v>669.2</v>
      </c>
      <c r="F113" s="186">
        <v>786</v>
      </c>
      <c r="G113" s="186">
        <v>470</v>
      </c>
      <c r="H113" s="186">
        <v>982</v>
      </c>
      <c r="I113" s="186">
        <v>666</v>
      </c>
      <c r="J113" s="186">
        <v>537</v>
      </c>
      <c r="K113" s="186">
        <v>538.29999999999995</v>
      </c>
      <c r="L113" s="186">
        <v>688.5</v>
      </c>
      <c r="M113" s="216">
        <v>589</v>
      </c>
      <c r="N113" s="216">
        <v>489.9</v>
      </c>
      <c r="O113" s="216">
        <v>563</v>
      </c>
      <c r="P113" s="216">
        <v>984</v>
      </c>
      <c r="Q113" s="135">
        <f t="shared" si="5"/>
        <v>688.8</v>
      </c>
      <c r="R113" s="190">
        <v>2E-3</v>
      </c>
      <c r="S113" s="216">
        <v>984</v>
      </c>
      <c r="T113" s="190">
        <v>2E-3</v>
      </c>
      <c r="V113" s="8">
        <v>35.5</v>
      </c>
      <c r="W113" s="217">
        <f t="shared" si="4"/>
        <v>0.35499999999999998</v>
      </c>
    </row>
    <row r="114" spans="1:23">
      <c r="A114" s="136">
        <v>535</v>
      </c>
      <c r="B114" s="186">
        <v>537</v>
      </c>
      <c r="C114" s="186">
        <v>335.7</v>
      </c>
      <c r="D114" s="215">
        <v>493</v>
      </c>
      <c r="E114" s="186">
        <v>670.4</v>
      </c>
      <c r="F114" s="186">
        <v>787.9</v>
      </c>
      <c r="G114" s="186">
        <v>471</v>
      </c>
      <c r="H114" s="186">
        <v>984</v>
      </c>
      <c r="I114" s="186">
        <v>667.5</v>
      </c>
      <c r="J114" s="186">
        <v>538.5</v>
      </c>
      <c r="K114" s="186">
        <v>539.5</v>
      </c>
      <c r="L114" s="186">
        <v>690</v>
      </c>
      <c r="M114" s="216">
        <v>590</v>
      </c>
      <c r="N114" s="216">
        <v>491</v>
      </c>
      <c r="O114" s="216">
        <v>564.5</v>
      </c>
      <c r="P114" s="216">
        <v>986</v>
      </c>
      <c r="Q114" s="135">
        <f t="shared" si="5"/>
        <v>690.19999999999993</v>
      </c>
      <c r="R114" s="190">
        <v>1.6000000000000001E-3</v>
      </c>
      <c r="S114" s="216">
        <v>986</v>
      </c>
      <c r="T114" s="190">
        <v>1.6000000000000001E-3</v>
      </c>
      <c r="V114" s="8">
        <v>36</v>
      </c>
      <c r="W114" s="217">
        <f t="shared" si="4"/>
        <v>0.36</v>
      </c>
    </row>
    <row r="115" spans="1:23">
      <c r="A115" s="136">
        <v>536</v>
      </c>
      <c r="B115" s="186">
        <v>538.20000000000005</v>
      </c>
      <c r="C115" s="186">
        <v>336.3</v>
      </c>
      <c r="D115" s="215">
        <v>494</v>
      </c>
      <c r="E115" s="186">
        <v>671.5</v>
      </c>
      <c r="F115" s="186">
        <v>789.7</v>
      </c>
      <c r="G115" s="186">
        <v>472</v>
      </c>
      <c r="H115" s="186">
        <v>986</v>
      </c>
      <c r="I115" s="186">
        <v>669</v>
      </c>
      <c r="J115" s="186">
        <v>540</v>
      </c>
      <c r="K115" s="186">
        <v>541</v>
      </c>
      <c r="L115" s="186">
        <v>692</v>
      </c>
      <c r="M115" s="216">
        <v>591</v>
      </c>
      <c r="N115" s="216">
        <v>492.5</v>
      </c>
      <c r="O115" s="216">
        <v>566</v>
      </c>
      <c r="P115" s="216">
        <v>988</v>
      </c>
      <c r="Q115" s="135">
        <f t="shared" si="5"/>
        <v>691.59999999999991</v>
      </c>
      <c r="R115" s="190">
        <v>1.2999999999999999E-3</v>
      </c>
      <c r="S115" s="216">
        <v>988</v>
      </c>
      <c r="T115" s="190">
        <v>1.2999999999999999E-3</v>
      </c>
      <c r="V115" s="8">
        <v>36.5</v>
      </c>
      <c r="W115" s="217">
        <f t="shared" si="4"/>
        <v>0.36499999999999999</v>
      </c>
    </row>
    <row r="116" spans="1:23">
      <c r="A116" s="136">
        <v>537</v>
      </c>
      <c r="B116" s="186">
        <v>539.29999999999995</v>
      </c>
      <c r="C116" s="186">
        <v>336.9</v>
      </c>
      <c r="D116" s="215">
        <v>495</v>
      </c>
      <c r="E116" s="186">
        <v>672.7</v>
      </c>
      <c r="F116" s="186">
        <v>791.5</v>
      </c>
      <c r="G116" s="186">
        <v>473</v>
      </c>
      <c r="H116" s="186">
        <v>987.5</v>
      </c>
      <c r="I116" s="186">
        <v>670.5</v>
      </c>
      <c r="J116" s="186">
        <v>541</v>
      </c>
      <c r="K116" s="186">
        <v>542</v>
      </c>
      <c r="L116" s="186">
        <v>693</v>
      </c>
      <c r="M116" s="216">
        <v>592</v>
      </c>
      <c r="N116" s="216">
        <v>493</v>
      </c>
      <c r="O116" s="216">
        <v>567</v>
      </c>
      <c r="P116" s="216">
        <v>990</v>
      </c>
      <c r="Q116" s="135">
        <f t="shared" si="5"/>
        <v>693</v>
      </c>
      <c r="R116" s="190">
        <v>1E-3</v>
      </c>
      <c r="S116" s="216">
        <v>989</v>
      </c>
      <c r="T116" s="190">
        <v>1E-3</v>
      </c>
      <c r="V116" s="8">
        <v>37</v>
      </c>
      <c r="W116" s="217">
        <f t="shared" si="4"/>
        <v>0.37</v>
      </c>
    </row>
    <row r="117" spans="1:23">
      <c r="A117" s="136">
        <v>538</v>
      </c>
      <c r="B117" s="186">
        <v>540.1</v>
      </c>
      <c r="C117" s="186">
        <v>337.5</v>
      </c>
      <c r="D117" s="215">
        <v>496</v>
      </c>
      <c r="E117" s="186">
        <v>674</v>
      </c>
      <c r="F117" s="186">
        <v>793</v>
      </c>
      <c r="G117" s="186">
        <v>473.5</v>
      </c>
      <c r="H117" s="186">
        <v>989</v>
      </c>
      <c r="I117" s="186">
        <v>671.5</v>
      </c>
      <c r="J117" s="186">
        <v>541.5</v>
      </c>
      <c r="K117" s="186">
        <v>542.5</v>
      </c>
      <c r="L117" s="186">
        <v>694</v>
      </c>
      <c r="M117" s="216">
        <v>593.5</v>
      </c>
      <c r="N117" s="216">
        <v>493.5</v>
      </c>
      <c r="O117" s="216">
        <v>567.5</v>
      </c>
      <c r="P117" s="216">
        <v>992</v>
      </c>
      <c r="Q117" s="135">
        <f t="shared" si="5"/>
        <v>694.4</v>
      </c>
      <c r="R117" s="190">
        <v>7.000000000000001E-4</v>
      </c>
      <c r="S117" s="216">
        <v>991</v>
      </c>
      <c r="T117" s="190">
        <v>7.000000000000001E-4</v>
      </c>
      <c r="V117" s="8">
        <v>37.5</v>
      </c>
      <c r="W117" s="217">
        <f t="shared" si="4"/>
        <v>0.375</v>
      </c>
    </row>
    <row r="118" spans="1:23">
      <c r="A118" s="136">
        <v>539</v>
      </c>
      <c r="B118" s="186">
        <v>540.79999999999995</v>
      </c>
      <c r="C118" s="186">
        <v>338.1</v>
      </c>
      <c r="D118" s="215">
        <v>497</v>
      </c>
      <c r="E118" s="186">
        <v>675</v>
      </c>
      <c r="F118" s="186">
        <v>794</v>
      </c>
      <c r="G118" s="186">
        <v>474</v>
      </c>
      <c r="H118" s="186">
        <v>990.5</v>
      </c>
      <c r="I118" s="186">
        <v>672.5</v>
      </c>
      <c r="J118" s="186">
        <v>542</v>
      </c>
      <c r="K118" s="186">
        <v>543</v>
      </c>
      <c r="L118" s="186">
        <v>695</v>
      </c>
      <c r="M118" s="216">
        <v>594.4</v>
      </c>
      <c r="N118" s="216">
        <v>494</v>
      </c>
      <c r="O118" s="216">
        <v>568</v>
      </c>
      <c r="P118" s="216">
        <v>994</v>
      </c>
      <c r="Q118" s="135">
        <f t="shared" si="5"/>
        <v>695.8</v>
      </c>
      <c r="R118" s="190">
        <v>5.0000000000000001E-4</v>
      </c>
      <c r="S118" s="216">
        <v>992</v>
      </c>
      <c r="T118" s="190">
        <v>5.0000000000000001E-4</v>
      </c>
      <c r="V118" s="8">
        <v>38</v>
      </c>
      <c r="W118" s="217">
        <f t="shared" si="4"/>
        <v>0.38</v>
      </c>
    </row>
    <row r="119" spans="1:23">
      <c r="A119" s="136">
        <v>540</v>
      </c>
      <c r="B119" s="186">
        <v>541.5</v>
      </c>
      <c r="C119" s="186">
        <v>338.7</v>
      </c>
      <c r="D119" s="215">
        <v>497.8</v>
      </c>
      <c r="E119" s="186">
        <v>676.2</v>
      </c>
      <c r="F119" s="186">
        <v>795.5</v>
      </c>
      <c r="G119" s="186">
        <v>475</v>
      </c>
      <c r="H119" s="186">
        <v>992</v>
      </c>
      <c r="I119" s="186">
        <v>673.5</v>
      </c>
      <c r="J119" s="186">
        <v>543</v>
      </c>
      <c r="K119" s="186">
        <v>544</v>
      </c>
      <c r="L119" s="186">
        <v>696</v>
      </c>
      <c r="M119" s="216">
        <v>594.79999999999995</v>
      </c>
      <c r="N119" s="216">
        <v>495</v>
      </c>
      <c r="O119" s="216">
        <v>568.79999999999995</v>
      </c>
      <c r="P119" s="216">
        <v>996</v>
      </c>
      <c r="Q119" s="135">
        <f t="shared" si="5"/>
        <v>697.19999999999993</v>
      </c>
      <c r="R119" s="190">
        <v>2.9999999999999997E-4</v>
      </c>
      <c r="S119" s="216">
        <v>994</v>
      </c>
      <c r="T119" s="190">
        <v>2.9999999999999997E-4</v>
      </c>
      <c r="V119" s="8">
        <v>38.5</v>
      </c>
      <c r="W119" s="217">
        <f t="shared" si="4"/>
        <v>0.38500000000000001</v>
      </c>
    </row>
    <row r="120" spans="1:23">
      <c r="A120" s="136">
        <v>541</v>
      </c>
      <c r="B120" s="186">
        <v>542.4</v>
      </c>
      <c r="C120" s="186">
        <v>339.2</v>
      </c>
      <c r="D120" s="215">
        <v>498.5</v>
      </c>
      <c r="E120" s="186">
        <v>677.5</v>
      </c>
      <c r="F120" s="186">
        <v>797</v>
      </c>
      <c r="G120" s="186">
        <v>476</v>
      </c>
      <c r="H120" s="186">
        <v>994</v>
      </c>
      <c r="I120" s="186">
        <v>675</v>
      </c>
      <c r="J120" s="186">
        <v>544</v>
      </c>
      <c r="K120" s="186">
        <v>545</v>
      </c>
      <c r="L120" s="186">
        <v>698</v>
      </c>
      <c r="M120" s="216">
        <v>596.6</v>
      </c>
      <c r="N120" s="216">
        <v>496</v>
      </c>
      <c r="O120" s="216">
        <v>570</v>
      </c>
      <c r="P120" s="216">
        <v>997.5</v>
      </c>
      <c r="Q120" s="135">
        <f t="shared" si="5"/>
        <v>698.25</v>
      </c>
      <c r="R120" s="190">
        <v>1E-4</v>
      </c>
      <c r="S120" s="216">
        <v>996</v>
      </c>
      <c r="T120" s="190">
        <v>1E-4</v>
      </c>
      <c r="V120" s="8">
        <v>39</v>
      </c>
      <c r="W120" s="217">
        <f t="shared" si="4"/>
        <v>0.39</v>
      </c>
    </row>
    <row r="121" spans="1:23">
      <c r="A121" s="136">
        <v>542</v>
      </c>
      <c r="B121" s="186">
        <v>543.20000000000005</v>
      </c>
      <c r="C121" s="186">
        <v>339.6</v>
      </c>
      <c r="D121" s="215">
        <v>499</v>
      </c>
      <c r="E121" s="186">
        <v>678.3</v>
      </c>
      <c r="F121" s="186">
        <v>798</v>
      </c>
      <c r="G121" s="186">
        <v>476.3</v>
      </c>
      <c r="H121" s="186">
        <v>996</v>
      </c>
      <c r="I121" s="186">
        <v>676.1</v>
      </c>
      <c r="J121" s="186">
        <v>544.9</v>
      </c>
      <c r="K121" s="186">
        <v>546</v>
      </c>
      <c r="L121" s="186">
        <v>698.6</v>
      </c>
      <c r="M121" s="216">
        <v>597.70000000000005</v>
      </c>
      <c r="N121" s="216">
        <v>496.3</v>
      </c>
      <c r="O121" s="216">
        <v>570.29999999999995</v>
      </c>
      <c r="P121" s="216">
        <v>998.1</v>
      </c>
      <c r="Q121" s="135">
        <f t="shared" si="5"/>
        <v>698.67</v>
      </c>
      <c r="R121" s="190">
        <v>7.0000000000000007E-5</v>
      </c>
      <c r="S121" s="216">
        <v>998</v>
      </c>
      <c r="T121" s="190">
        <v>7.0000000000000007E-5</v>
      </c>
      <c r="V121" s="8">
        <v>39.5</v>
      </c>
      <c r="W121" s="217">
        <f t="shared" si="4"/>
        <v>0.39500000000000002</v>
      </c>
    </row>
    <row r="122" spans="1:23">
      <c r="A122" s="136">
        <v>543</v>
      </c>
      <c r="B122" s="186">
        <v>543.79999999999995</v>
      </c>
      <c r="C122" s="186">
        <v>340</v>
      </c>
      <c r="D122" s="215">
        <v>499.4</v>
      </c>
      <c r="E122" s="186">
        <v>679.1</v>
      </c>
      <c r="F122" s="186">
        <v>799</v>
      </c>
      <c r="G122" s="186">
        <v>476.7</v>
      </c>
      <c r="H122" s="186">
        <v>998</v>
      </c>
      <c r="I122" s="186">
        <v>677</v>
      </c>
      <c r="J122" s="186">
        <v>545.20000000000005</v>
      </c>
      <c r="K122" s="186">
        <v>546.4</v>
      </c>
      <c r="L122" s="186">
        <v>699.2</v>
      </c>
      <c r="M122" s="216">
        <v>598.79999999999995</v>
      </c>
      <c r="N122" s="216">
        <v>496.6</v>
      </c>
      <c r="O122" s="216">
        <v>570.6</v>
      </c>
      <c r="P122" s="216">
        <v>998.7</v>
      </c>
      <c r="Q122" s="135">
        <f t="shared" si="5"/>
        <v>699.09</v>
      </c>
      <c r="R122" s="190">
        <v>5.0000000000000002E-5</v>
      </c>
      <c r="S122" s="216">
        <v>999</v>
      </c>
      <c r="T122" s="190">
        <v>5.0000000000000002E-5</v>
      </c>
      <c r="V122" s="8">
        <v>40</v>
      </c>
      <c r="W122" s="217">
        <f t="shared" si="4"/>
        <v>0.4</v>
      </c>
    </row>
  </sheetData>
  <sheetProtection algorithmName="SHA-512" hashValue="32Zwjkm1naGH0kb/uAWFZ7fm3clu79fDB/hEXOOUf/TGKUVXOQebOYvXmcLAqDKQIWLIc+OgUnfJuQAyEv4gEw==" saltValue="3El3TbgzmcyoAi2sdZvrWg==" spinCount="100000" sheet="1" objects="1" scenarios="1" selectLockedCells="1" selectUnlockedCells="1"/>
  <autoFilter ref="S4:S122">
    <sortState ref="S5:S122">
      <sortCondition ref="S4:S122"/>
    </sortState>
  </autoFilter>
  <mergeCells count="9">
    <mergeCell ref="A3:A4"/>
    <mergeCell ref="F1:F2"/>
    <mergeCell ref="I1:I2"/>
    <mergeCell ref="N1:N2"/>
    <mergeCell ref="G1:G2"/>
    <mergeCell ref="B1:B2"/>
    <mergeCell ref="C1:C2"/>
    <mergeCell ref="D1:D2"/>
    <mergeCell ref="E1:E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325"/>
  <sheetViews>
    <sheetView topLeftCell="I1" workbookViewId="0">
      <selection activeCell="W1" sqref="W1:W1048576"/>
    </sheetView>
  </sheetViews>
  <sheetFormatPr defaultRowHeight="16.5"/>
  <cols>
    <col min="1" max="9" width="9" style="233"/>
    <col min="10" max="13" width="9" style="8"/>
    <col min="14" max="14" width="7.375" style="95"/>
    <col min="15" max="15" width="10.25" style="98" customWidth="1"/>
    <col min="17" max="17" width="7.375" style="95"/>
    <col min="18" max="18" width="10.25" style="98" customWidth="1"/>
    <col min="20" max="22" width="9" style="125"/>
    <col min="24" max="26" width="9" style="8"/>
  </cols>
  <sheetData>
    <row r="1" spans="1:26" ht="23.25" thickBot="1">
      <c r="A1" s="230" t="s">
        <v>20</v>
      </c>
      <c r="B1" s="230" t="s">
        <v>21</v>
      </c>
      <c r="C1" s="230" t="s">
        <v>44</v>
      </c>
      <c r="D1" s="230" t="s">
        <v>62</v>
      </c>
      <c r="E1" s="230" t="s">
        <v>63</v>
      </c>
      <c r="F1" s="230" t="s">
        <v>64</v>
      </c>
      <c r="G1" s="230" t="s">
        <v>65</v>
      </c>
      <c r="H1" s="230" t="s">
        <v>69</v>
      </c>
      <c r="I1" s="230" t="s">
        <v>68</v>
      </c>
      <c r="J1" s="15" t="s">
        <v>60</v>
      </c>
      <c r="K1" s="15" t="s">
        <v>61</v>
      </c>
      <c r="L1" s="8">
        <v>131215</v>
      </c>
      <c r="N1" s="97" t="s">
        <v>189</v>
      </c>
      <c r="O1" s="99" t="s">
        <v>190</v>
      </c>
      <c r="Q1" s="97" t="s">
        <v>192</v>
      </c>
      <c r="R1" s="99" t="s">
        <v>191</v>
      </c>
      <c r="T1" s="15" t="s">
        <v>20</v>
      </c>
      <c r="U1" s="15" t="s">
        <v>60</v>
      </c>
      <c r="V1" s="15" t="s">
        <v>260</v>
      </c>
      <c r="X1" s="15" t="s">
        <v>1598</v>
      </c>
      <c r="Y1" s="15" t="s">
        <v>60</v>
      </c>
      <c r="Z1" s="15" t="s">
        <v>61</v>
      </c>
    </row>
    <row r="2" spans="1:26" ht="17.25" thickBot="1">
      <c r="A2" s="231">
        <v>512.605279</v>
      </c>
      <c r="B2" s="231">
        <v>323.12665299999998</v>
      </c>
      <c r="C2" s="231">
        <v>474.57584700000001</v>
      </c>
      <c r="D2" s="231">
        <v>517.74400000000003</v>
      </c>
      <c r="E2" s="231">
        <v>518.98</v>
      </c>
      <c r="F2" s="231">
        <v>389.16051529999999</v>
      </c>
      <c r="G2" s="231">
        <v>453.26054005999993</v>
      </c>
      <c r="H2" s="231">
        <v>662.90330827849539</v>
      </c>
      <c r="I2" s="231">
        <v>662.94426192062951</v>
      </c>
      <c r="J2" s="16">
        <v>13400</v>
      </c>
      <c r="K2" s="236">
        <v>3.9750000000000001E-2</v>
      </c>
      <c r="L2" s="235">
        <f>ROUND(K2,5)</f>
        <v>3.9750000000000001E-2</v>
      </c>
      <c r="N2" s="95">
        <v>176</v>
      </c>
      <c r="O2" s="169">
        <v>0.99949999999999972</v>
      </c>
      <c r="Q2" s="95">
        <v>255</v>
      </c>
      <c r="R2" s="98">
        <v>99.949999999999974</v>
      </c>
      <c r="T2" s="231">
        <v>509.66506399999997</v>
      </c>
      <c r="U2" s="16">
        <v>6698</v>
      </c>
      <c r="V2" s="17">
        <v>4.1820000000000003E-2</v>
      </c>
      <c r="W2" s="234"/>
      <c r="X2" s="18">
        <v>664.37731405419697</v>
      </c>
      <c r="Y2" s="16">
        <v>13400</v>
      </c>
      <c r="Z2" s="236">
        <v>3.9750000000000001E-2</v>
      </c>
    </row>
    <row r="3" spans="1:26" ht="17.25" thickBot="1">
      <c r="A3" s="231">
        <v>512.83149199999991</v>
      </c>
      <c r="B3" s="231">
        <v>323.20900999999998</v>
      </c>
      <c r="C3" s="231">
        <v>474.79674900000003</v>
      </c>
      <c r="D3" s="231">
        <v>517.9</v>
      </c>
      <c r="E3" s="231">
        <v>519.12</v>
      </c>
      <c r="F3" s="231">
        <v>389.22041389999998</v>
      </c>
      <c r="G3" s="231">
        <v>453.46358008999994</v>
      </c>
      <c r="H3" s="231">
        <v>663.05610155263696</v>
      </c>
      <c r="I3" s="231">
        <v>663.2606362573315</v>
      </c>
      <c r="J3" s="16">
        <v>13190</v>
      </c>
      <c r="K3" s="236">
        <v>3.9120000000000002E-2</v>
      </c>
      <c r="L3" s="235">
        <f t="shared" ref="L3:L66" si="0">ROUND(K3,5)</f>
        <v>3.9120000000000002E-2</v>
      </c>
      <c r="N3" s="95">
        <v>177</v>
      </c>
      <c r="O3" s="169">
        <v>0.995</v>
      </c>
      <c r="Q3" s="95">
        <v>256</v>
      </c>
      <c r="R3" s="98">
        <v>99.899999999999977</v>
      </c>
      <c r="T3" s="231">
        <v>509.90977399999997</v>
      </c>
      <c r="U3" s="16">
        <v>6597</v>
      </c>
      <c r="V3" s="17">
        <v>4.1189999999999997E-2</v>
      </c>
      <c r="W3" s="234"/>
      <c r="X3" s="18">
        <v>664.53554944578275</v>
      </c>
      <c r="Y3" s="16">
        <v>13190</v>
      </c>
      <c r="Z3" s="236">
        <v>3.9120000000000002E-2</v>
      </c>
    </row>
    <row r="4" spans="1:26" ht="17.25" thickBot="1">
      <c r="A4" s="231">
        <v>512.99860699999999</v>
      </c>
      <c r="B4" s="231">
        <v>323.326346</v>
      </c>
      <c r="C4" s="231">
        <v>474.90254499999998</v>
      </c>
      <c r="D4" s="231">
        <v>518.02</v>
      </c>
      <c r="E4" s="231">
        <v>519.37200000000007</v>
      </c>
      <c r="F4" s="231">
        <v>389.25061529999999</v>
      </c>
      <c r="G4" s="231">
        <v>453.57903471999992</v>
      </c>
      <c r="H4" s="231">
        <v>663.24243005220092</v>
      </c>
      <c r="I4" s="231">
        <v>663.54547898885471</v>
      </c>
      <c r="J4" s="16">
        <v>12996</v>
      </c>
      <c r="K4" s="236">
        <v>3.8550000000000001E-2</v>
      </c>
      <c r="L4" s="235">
        <f t="shared" si="0"/>
        <v>3.8550000000000001E-2</v>
      </c>
      <c r="N4" s="95">
        <v>178</v>
      </c>
      <c r="O4" s="169">
        <v>0.99400000000000011</v>
      </c>
      <c r="Q4" s="95">
        <v>257</v>
      </c>
      <c r="R4" s="98">
        <v>99.84999999999998</v>
      </c>
      <c r="T4" s="231">
        <v>510.22790399999997</v>
      </c>
      <c r="U4" s="16">
        <v>6500</v>
      </c>
      <c r="V4" s="17">
        <v>4.0579999999999998E-2</v>
      </c>
      <c r="W4" s="234"/>
      <c r="X4" s="18">
        <v>664.74629688170887</v>
      </c>
      <c r="Y4" s="16">
        <v>12996</v>
      </c>
      <c r="Z4" s="236">
        <v>3.8550000000000001E-2</v>
      </c>
    </row>
    <row r="5" spans="1:26" ht="17.25" thickBot="1">
      <c r="A5" s="231">
        <v>513.20926099999997</v>
      </c>
      <c r="B5" s="231">
        <v>323.45827600000001</v>
      </c>
      <c r="C5" s="231">
        <v>475.06834599999996</v>
      </c>
      <c r="D5" s="231">
        <v>518.28</v>
      </c>
      <c r="E5" s="231">
        <v>519.57600000000002</v>
      </c>
      <c r="F5" s="231">
        <v>389.31035750000001</v>
      </c>
      <c r="G5" s="231">
        <v>453.62807431999994</v>
      </c>
      <c r="H5" s="231">
        <v>663.56173264802896</v>
      </c>
      <c r="I5" s="231">
        <v>663.82316404267635</v>
      </c>
      <c r="J5" s="16">
        <v>12792</v>
      </c>
      <c r="K5" s="236">
        <v>3.7940000000000002E-2</v>
      </c>
      <c r="L5" s="235">
        <f t="shared" si="0"/>
        <v>3.7940000000000002E-2</v>
      </c>
      <c r="N5" s="95">
        <v>179</v>
      </c>
      <c r="O5" s="169">
        <v>0.9930000000000001</v>
      </c>
      <c r="Q5" s="95">
        <v>258</v>
      </c>
      <c r="R5" s="98">
        <v>99.799999999999983</v>
      </c>
      <c r="T5" s="231">
        <v>510.44587100000001</v>
      </c>
      <c r="U5" s="16">
        <v>6397</v>
      </c>
      <c r="V5" s="17">
        <v>3.9940000000000003E-2</v>
      </c>
      <c r="W5" s="234"/>
      <c r="X5" s="18">
        <v>665.02598473495561</v>
      </c>
      <c r="Y5" s="16">
        <v>12792</v>
      </c>
      <c r="Z5" s="236">
        <v>3.7940000000000002E-2</v>
      </c>
    </row>
    <row r="6" spans="1:26" ht="17.25" thickBot="1">
      <c r="A6" s="231">
        <v>513.34787000000006</v>
      </c>
      <c r="B6" s="231">
        <v>323.55800599999998</v>
      </c>
      <c r="C6" s="231">
        <v>475.27130299999999</v>
      </c>
      <c r="D6" s="231">
        <v>518.47200000000009</v>
      </c>
      <c r="E6" s="231">
        <v>519.68000000000006</v>
      </c>
      <c r="F6" s="231">
        <v>389.40028489999997</v>
      </c>
      <c r="G6" s="231">
        <v>453.80650065999993</v>
      </c>
      <c r="H6" s="231">
        <v>663.8539493079586</v>
      </c>
      <c r="I6" s="231">
        <v>664.06052756040992</v>
      </c>
      <c r="J6" s="16">
        <v>12592</v>
      </c>
      <c r="K6" s="236">
        <v>3.7350000000000001E-2</v>
      </c>
      <c r="L6" s="235">
        <f t="shared" si="0"/>
        <v>3.7350000000000001E-2</v>
      </c>
      <c r="N6" s="95">
        <v>183</v>
      </c>
      <c r="O6" s="169">
        <v>0.99200000000000021</v>
      </c>
      <c r="Q6" s="95">
        <v>259</v>
      </c>
      <c r="R6" s="98">
        <v>99.699999999999989</v>
      </c>
      <c r="T6" s="231">
        <v>510.63166800000005</v>
      </c>
      <c r="U6" s="16">
        <v>6298</v>
      </c>
      <c r="V6" s="17">
        <v>3.9320000000000001E-2</v>
      </c>
      <c r="W6" s="234"/>
      <c r="X6" s="18">
        <v>665.25154104153205</v>
      </c>
      <c r="Y6" s="16">
        <v>12592</v>
      </c>
      <c r="Z6" s="236">
        <v>3.7350000000000001E-2</v>
      </c>
    </row>
    <row r="7" spans="1:26" ht="17.25" thickBot="1">
      <c r="A7" s="231">
        <v>513.47334899999998</v>
      </c>
      <c r="B7" s="231">
        <v>323.70268899999996</v>
      </c>
      <c r="C7" s="231">
        <v>475.42516499999999</v>
      </c>
      <c r="D7" s="231">
        <v>518.6</v>
      </c>
      <c r="E7" s="231">
        <v>519.81999999999994</v>
      </c>
      <c r="F7" s="231">
        <v>390.06050770000002</v>
      </c>
      <c r="G7" s="231">
        <v>454.02701596999992</v>
      </c>
      <c r="H7" s="231">
        <v>664.11364937977055</v>
      </c>
      <c r="I7" s="231">
        <v>664.3491996121279</v>
      </c>
      <c r="J7" s="16">
        <v>12394</v>
      </c>
      <c r="K7" s="236">
        <v>3.6760000000000001E-2</v>
      </c>
      <c r="L7" s="235">
        <f t="shared" si="0"/>
        <v>3.6760000000000001E-2</v>
      </c>
      <c r="N7" s="95">
        <v>184</v>
      </c>
      <c r="O7" s="169">
        <v>0.98800000000000021</v>
      </c>
      <c r="Q7" s="95">
        <v>260</v>
      </c>
      <c r="R7" s="98">
        <v>99.6</v>
      </c>
      <c r="T7" s="231">
        <v>510.88992500000001</v>
      </c>
      <c r="U7" s="16">
        <v>6199</v>
      </c>
      <c r="V7" s="17">
        <v>3.8699999999999998E-2</v>
      </c>
      <c r="W7" s="234"/>
      <c r="X7" s="18">
        <v>665.42886314420934</v>
      </c>
      <c r="Y7" s="16">
        <v>12394</v>
      </c>
      <c r="Z7" s="236">
        <v>3.6760000000000001E-2</v>
      </c>
    </row>
    <row r="8" spans="1:26" ht="17.25" thickBot="1">
      <c r="A8" s="231">
        <v>513.64355899999998</v>
      </c>
      <c r="B8" s="231">
        <v>323.76113800000002</v>
      </c>
      <c r="C8" s="231">
        <v>475.62166499999995</v>
      </c>
      <c r="D8" s="231">
        <v>518.73599999999999</v>
      </c>
      <c r="E8" s="231">
        <v>519.96399999999994</v>
      </c>
      <c r="F8" s="231">
        <v>390.12062430000003</v>
      </c>
      <c r="G8" s="231">
        <v>454.21957222999993</v>
      </c>
      <c r="H8" s="231">
        <v>664.38214721980955</v>
      </c>
      <c r="I8" s="231">
        <v>664.64217769385198</v>
      </c>
      <c r="J8" s="16">
        <v>12199</v>
      </c>
      <c r="K8" s="236">
        <v>3.6179999999999997E-2</v>
      </c>
      <c r="L8" s="235">
        <f t="shared" si="0"/>
        <v>3.6179999999999997E-2</v>
      </c>
      <c r="N8" s="95">
        <v>185</v>
      </c>
      <c r="O8" s="169">
        <v>0.98600000000000021</v>
      </c>
      <c r="Q8" s="95">
        <v>261</v>
      </c>
      <c r="R8" s="98">
        <v>99.5</v>
      </c>
      <c r="T8" s="231">
        <v>511.10211700000002</v>
      </c>
      <c r="U8" s="16">
        <v>6098</v>
      </c>
      <c r="V8" s="17">
        <v>3.807E-2</v>
      </c>
      <c r="W8" s="234"/>
      <c r="X8" s="18">
        <v>665.56866069801788</v>
      </c>
      <c r="Y8" s="16">
        <v>12199</v>
      </c>
      <c r="Z8" s="236">
        <v>3.6179999999999997E-2</v>
      </c>
    </row>
    <row r="9" spans="1:26" ht="17.25" thickBot="1">
      <c r="A9" s="231">
        <v>513.864285</v>
      </c>
      <c r="B9" s="231">
        <v>323.91493300000002</v>
      </c>
      <c r="C9" s="231">
        <v>475.76386699999995</v>
      </c>
      <c r="D9" s="231">
        <v>518.93600000000004</v>
      </c>
      <c r="E9" s="231">
        <v>520.12</v>
      </c>
      <c r="F9" s="231">
        <v>390.21031320000003</v>
      </c>
      <c r="G9" s="231">
        <v>454.32459242999994</v>
      </c>
      <c r="H9" s="231">
        <v>664.62627801472217</v>
      </c>
      <c r="I9" s="231">
        <v>664.8459233485595</v>
      </c>
      <c r="J9" s="16">
        <v>11996</v>
      </c>
      <c r="K9" s="236">
        <v>3.5580000000000001E-2</v>
      </c>
      <c r="L9" s="235">
        <f t="shared" si="0"/>
        <v>3.5580000000000001E-2</v>
      </c>
      <c r="N9" s="95">
        <v>187</v>
      </c>
      <c r="O9" s="169">
        <v>0.97400000000000009</v>
      </c>
      <c r="Q9" s="95">
        <v>262</v>
      </c>
      <c r="R9" s="98">
        <v>99.4</v>
      </c>
      <c r="T9" s="231">
        <v>511.40838599999995</v>
      </c>
      <c r="U9" s="16">
        <v>5997</v>
      </c>
      <c r="V9" s="17">
        <v>3.7440000000000001E-2</v>
      </c>
      <c r="W9" s="234"/>
      <c r="X9" s="18">
        <v>665.82534209336484</v>
      </c>
      <c r="Y9" s="16">
        <v>11996</v>
      </c>
      <c r="Z9" s="236">
        <v>3.5580000000000001E-2</v>
      </c>
    </row>
    <row r="10" spans="1:26" ht="17.25" thickBot="1">
      <c r="A10" s="231">
        <v>514.07773199999997</v>
      </c>
      <c r="B10" s="231">
        <v>324.01453200000003</v>
      </c>
      <c r="C10" s="231">
        <v>475.94558800000004</v>
      </c>
      <c r="D10" s="231">
        <v>519.16000000000008</v>
      </c>
      <c r="E10" s="231">
        <v>520.43600000000004</v>
      </c>
      <c r="F10" s="231">
        <v>390.21080090000004</v>
      </c>
      <c r="G10" s="231">
        <v>454.52407446999996</v>
      </c>
      <c r="H10" s="231">
        <v>664.85152375445352</v>
      </c>
      <c r="I10" s="231">
        <v>665.16644677132649</v>
      </c>
      <c r="J10" s="16">
        <v>11796</v>
      </c>
      <c r="K10" s="236">
        <v>3.499E-2</v>
      </c>
      <c r="L10" s="235">
        <f t="shared" si="0"/>
        <v>3.499E-2</v>
      </c>
      <c r="N10" s="95">
        <v>188</v>
      </c>
      <c r="O10" s="169">
        <v>0.96799999999999997</v>
      </c>
      <c r="Q10" s="95">
        <v>263</v>
      </c>
      <c r="R10" s="98">
        <v>99.300000000000011</v>
      </c>
      <c r="T10" s="231">
        <v>511.659853</v>
      </c>
      <c r="U10" s="16">
        <v>5897</v>
      </c>
      <c r="V10" s="17">
        <v>3.6819999999999999E-2</v>
      </c>
      <c r="W10" s="234"/>
      <c r="X10" s="18">
        <v>666.03811196759784</v>
      </c>
      <c r="Y10" s="16">
        <v>11796</v>
      </c>
      <c r="Z10" s="236">
        <v>3.499E-2</v>
      </c>
    </row>
    <row r="11" spans="1:26" ht="17.25" thickBot="1">
      <c r="A11" s="231">
        <v>514.20043999999996</v>
      </c>
      <c r="B11" s="231">
        <v>324.07600400000001</v>
      </c>
      <c r="C11" s="231">
        <v>476.08759900000001</v>
      </c>
      <c r="D11" s="231">
        <v>519.29199999999992</v>
      </c>
      <c r="E11" s="231">
        <v>520.59600000000012</v>
      </c>
      <c r="F11" s="231">
        <v>390.30039410000006</v>
      </c>
      <c r="G11" s="231">
        <v>454.62206236999998</v>
      </c>
      <c r="H11" s="231">
        <v>665.08955186358753</v>
      </c>
      <c r="I11" s="231">
        <v>665.5257214675255</v>
      </c>
      <c r="J11" s="16">
        <v>11599</v>
      </c>
      <c r="K11" s="236">
        <v>3.44E-2</v>
      </c>
      <c r="L11" s="235">
        <f t="shared" si="0"/>
        <v>3.44E-2</v>
      </c>
      <c r="N11" s="95">
        <v>189</v>
      </c>
      <c r="O11" s="169">
        <v>0.96499999999999997</v>
      </c>
      <c r="Q11" s="95">
        <v>264</v>
      </c>
      <c r="R11" s="98">
        <v>99.200000000000017</v>
      </c>
      <c r="T11" s="232">
        <v>511.83278300000001</v>
      </c>
      <c r="U11" s="164">
        <v>5798</v>
      </c>
      <c r="V11" s="19">
        <v>3.6200000000000003E-2</v>
      </c>
      <c r="W11" s="234"/>
      <c r="X11" s="18">
        <v>666.21725952708516</v>
      </c>
      <c r="Y11" s="16">
        <v>11599</v>
      </c>
      <c r="Z11" s="236">
        <v>3.44E-2</v>
      </c>
    </row>
    <row r="12" spans="1:26" ht="17.25" thickBot="1">
      <c r="A12" s="232">
        <v>514.44048600000008</v>
      </c>
      <c r="B12" s="232">
        <v>324.2287</v>
      </c>
      <c r="C12" s="232">
        <v>476.193129</v>
      </c>
      <c r="D12" s="232">
        <v>519.42000000000007</v>
      </c>
      <c r="E12" s="232">
        <v>520.78</v>
      </c>
      <c r="F12" s="232">
        <v>390.30088970000003</v>
      </c>
      <c r="G12" s="232">
        <v>454.72004322999999</v>
      </c>
      <c r="H12" s="232">
        <v>665.27508569861504</v>
      </c>
      <c r="I12" s="232">
        <v>665.79454565941649</v>
      </c>
      <c r="J12" s="164">
        <v>11394</v>
      </c>
      <c r="K12" s="237">
        <v>3.3799999999999997E-2</v>
      </c>
      <c r="L12" s="235">
        <f t="shared" si="0"/>
        <v>3.3799999999999997E-2</v>
      </c>
      <c r="N12" s="95">
        <v>190</v>
      </c>
      <c r="O12" s="169">
        <v>0.95599999999999996</v>
      </c>
      <c r="Q12" s="95">
        <v>265</v>
      </c>
      <c r="R12" s="98">
        <v>99.100000000000023</v>
      </c>
      <c r="T12" s="231">
        <v>512.07202600000005</v>
      </c>
      <c r="U12" s="16">
        <v>5700</v>
      </c>
      <c r="V12" s="17">
        <v>3.5580000000000001E-2</v>
      </c>
      <c r="W12" s="234"/>
      <c r="X12" s="20">
        <v>666.46893887816543</v>
      </c>
      <c r="Y12" s="164">
        <v>11394</v>
      </c>
      <c r="Z12" s="237">
        <v>3.3799999999999997E-2</v>
      </c>
    </row>
    <row r="13" spans="1:26" ht="17.25" thickBot="1">
      <c r="A13" s="231">
        <v>514.613429</v>
      </c>
      <c r="B13" s="231">
        <v>324.375764</v>
      </c>
      <c r="C13" s="231">
        <v>476.360905</v>
      </c>
      <c r="D13" s="231">
        <v>519.63600000000008</v>
      </c>
      <c r="E13" s="231">
        <v>521.01600000000008</v>
      </c>
      <c r="F13" s="231">
        <v>390.99048159999995</v>
      </c>
      <c r="G13" s="231">
        <v>454.77607806999993</v>
      </c>
      <c r="H13" s="231">
        <v>665.56289240174942</v>
      </c>
      <c r="I13" s="231">
        <v>666.15397431939971</v>
      </c>
      <c r="J13" s="16">
        <v>11193</v>
      </c>
      <c r="K13" s="236">
        <v>3.32E-2</v>
      </c>
      <c r="L13" s="235">
        <f t="shared" si="0"/>
        <v>3.32E-2</v>
      </c>
      <c r="N13" s="95">
        <v>191</v>
      </c>
      <c r="O13" s="169">
        <v>0.95</v>
      </c>
      <c r="Q13" s="95">
        <v>266</v>
      </c>
      <c r="R13" s="98">
        <v>99.000000000000028</v>
      </c>
      <c r="T13" s="231">
        <v>512.40393799999993</v>
      </c>
      <c r="U13" s="16">
        <v>5598</v>
      </c>
      <c r="V13" s="17">
        <v>3.4950000000000002E-2</v>
      </c>
      <c r="W13" s="234"/>
      <c r="X13" s="18">
        <v>666.70107177225862</v>
      </c>
      <c r="Y13" s="16">
        <v>11193</v>
      </c>
      <c r="Z13" s="236">
        <v>3.32E-2</v>
      </c>
    </row>
    <row r="14" spans="1:26" ht="17.25" thickBot="1">
      <c r="A14" s="231">
        <v>514.78780399999994</v>
      </c>
      <c r="B14" s="231">
        <v>324.47393599999998</v>
      </c>
      <c r="C14" s="231">
        <v>476.59511300000003</v>
      </c>
      <c r="D14" s="231">
        <v>519.88</v>
      </c>
      <c r="E14" s="231">
        <v>521.21199999999999</v>
      </c>
      <c r="F14" s="231">
        <v>391.11062459999999</v>
      </c>
      <c r="G14" s="231">
        <v>455.03507531999998</v>
      </c>
      <c r="H14" s="231">
        <v>665.7550456586697</v>
      </c>
      <c r="I14" s="231">
        <v>666.4343999977325</v>
      </c>
      <c r="J14" s="16">
        <v>10995</v>
      </c>
      <c r="K14" s="236">
        <v>3.261E-2</v>
      </c>
      <c r="L14" s="235">
        <f t="shared" si="0"/>
        <v>3.261E-2</v>
      </c>
      <c r="N14" s="95">
        <v>192</v>
      </c>
      <c r="O14" s="169">
        <v>0.94700000000000006</v>
      </c>
      <c r="Q14" s="95">
        <v>267</v>
      </c>
      <c r="R14" s="98">
        <v>98.800000000000026</v>
      </c>
      <c r="T14" s="231">
        <v>512.60874999999999</v>
      </c>
      <c r="U14" s="16">
        <v>5498</v>
      </c>
      <c r="V14" s="17">
        <v>3.4320000000000003E-2</v>
      </c>
      <c r="W14" s="234"/>
      <c r="X14" s="18">
        <v>666.9613661890503</v>
      </c>
      <c r="Y14" s="16">
        <v>10995</v>
      </c>
      <c r="Z14" s="236">
        <v>3.261E-2</v>
      </c>
    </row>
    <row r="15" spans="1:26" ht="17.25" thickBot="1">
      <c r="A15" s="231">
        <v>515.03940599999999</v>
      </c>
      <c r="B15" s="231">
        <v>324.62669299999999</v>
      </c>
      <c r="C15" s="231">
        <v>476.74669800000004</v>
      </c>
      <c r="D15" s="231">
        <v>520.12</v>
      </c>
      <c r="E15" s="231">
        <v>521.39600000000007</v>
      </c>
      <c r="F15" s="231">
        <v>391.2002731</v>
      </c>
      <c r="G15" s="231">
        <v>455.26251699999995</v>
      </c>
      <c r="H15" s="231">
        <v>665.97507260074428</v>
      </c>
      <c r="I15" s="231">
        <v>666.62234468070903</v>
      </c>
      <c r="J15" s="16">
        <v>10791</v>
      </c>
      <c r="K15" s="236">
        <v>3.2009999999999997E-2</v>
      </c>
      <c r="L15" s="235">
        <f t="shared" si="0"/>
        <v>3.2009999999999997E-2</v>
      </c>
      <c r="N15" s="95">
        <v>194</v>
      </c>
      <c r="O15" s="169">
        <v>0.94400000000000006</v>
      </c>
      <c r="Q15" s="95">
        <v>268</v>
      </c>
      <c r="R15" s="98">
        <v>98.600000000000023</v>
      </c>
      <c r="T15" s="231">
        <v>512.86832500000003</v>
      </c>
      <c r="U15" s="16">
        <v>5398</v>
      </c>
      <c r="V15" s="17">
        <v>3.3700000000000001E-2</v>
      </c>
      <c r="W15" s="234"/>
      <c r="X15" s="18">
        <v>667.23586104456615</v>
      </c>
      <c r="Y15" s="16">
        <v>10791</v>
      </c>
      <c r="Z15" s="236">
        <v>3.2009999999999997E-2</v>
      </c>
    </row>
    <row r="16" spans="1:26" ht="17.25" thickBot="1">
      <c r="A16" s="231">
        <v>515.22697100000005</v>
      </c>
      <c r="B16" s="231">
        <v>324.671629</v>
      </c>
      <c r="C16" s="231">
        <v>476.89493399999998</v>
      </c>
      <c r="D16" s="231">
        <v>520.27200000000005</v>
      </c>
      <c r="E16" s="231">
        <v>521.58000000000004</v>
      </c>
      <c r="F16" s="231">
        <v>391.20076970000002</v>
      </c>
      <c r="G16" s="231">
        <v>455.47252328999991</v>
      </c>
      <c r="H16" s="231">
        <v>666.25493761446592</v>
      </c>
      <c r="I16" s="231">
        <v>666.835999455104</v>
      </c>
      <c r="J16" s="16">
        <v>10599</v>
      </c>
      <c r="K16" s="236">
        <v>3.1440000000000003E-2</v>
      </c>
      <c r="L16" s="235">
        <f t="shared" si="0"/>
        <v>3.1440000000000003E-2</v>
      </c>
      <c r="N16" s="95">
        <v>195</v>
      </c>
      <c r="O16" s="169">
        <v>0.94099999999999995</v>
      </c>
      <c r="Q16" s="95">
        <v>269</v>
      </c>
      <c r="R16" s="98">
        <v>98.40000000000002</v>
      </c>
      <c r="T16" s="232">
        <v>513.11868499999991</v>
      </c>
      <c r="U16" s="164">
        <v>5299</v>
      </c>
      <c r="V16" s="19">
        <v>3.3079999999999998E-2</v>
      </c>
      <c r="W16" s="234"/>
      <c r="X16" s="18">
        <v>667.57659462532058</v>
      </c>
      <c r="Y16" s="16">
        <v>10599</v>
      </c>
      <c r="Z16" s="236">
        <v>3.1440000000000003E-2</v>
      </c>
    </row>
    <row r="17" spans="1:26" ht="17.25" thickBot="1">
      <c r="A17" s="231">
        <v>515.54815799999994</v>
      </c>
      <c r="B17" s="231">
        <v>324.89430800000002</v>
      </c>
      <c r="C17" s="231">
        <v>477.02146299999998</v>
      </c>
      <c r="D17" s="231">
        <v>520.48400000000004</v>
      </c>
      <c r="E17" s="231">
        <v>521.74800000000005</v>
      </c>
      <c r="F17" s="231">
        <v>391.29028880000004</v>
      </c>
      <c r="G17" s="231">
        <v>455.77000068000001</v>
      </c>
      <c r="H17" s="231">
        <v>666.44853692242987</v>
      </c>
      <c r="I17" s="231">
        <v>667.0840542272316</v>
      </c>
      <c r="J17" s="16">
        <v>10392</v>
      </c>
      <c r="K17" s="236">
        <v>3.082E-2</v>
      </c>
      <c r="L17" s="235">
        <f t="shared" si="0"/>
        <v>3.082E-2</v>
      </c>
      <c r="N17" s="95">
        <v>197</v>
      </c>
      <c r="O17" s="169">
        <v>0.93700000000000006</v>
      </c>
      <c r="Q17" s="95">
        <v>270</v>
      </c>
      <c r="R17" s="98">
        <v>98.200000000000017</v>
      </c>
      <c r="T17" s="231">
        <v>513.40041099999996</v>
      </c>
      <c r="U17" s="16">
        <v>5197</v>
      </c>
      <c r="V17" s="17">
        <v>3.245E-2</v>
      </c>
      <c r="W17" s="234"/>
      <c r="X17" s="18">
        <v>667.94987075871052</v>
      </c>
      <c r="Y17" s="16">
        <v>10392</v>
      </c>
      <c r="Z17" s="236">
        <v>3.082E-2</v>
      </c>
    </row>
    <row r="18" spans="1:26" ht="17.25" thickBot="1">
      <c r="A18" s="231">
        <v>515.787284</v>
      </c>
      <c r="B18" s="231">
        <v>325.01131300000003</v>
      </c>
      <c r="C18" s="231">
        <v>477.30288200000001</v>
      </c>
      <c r="D18" s="231">
        <v>520.70799999999997</v>
      </c>
      <c r="E18" s="231">
        <v>522.00799999999992</v>
      </c>
      <c r="F18" s="231">
        <v>391.29061010000004</v>
      </c>
      <c r="G18" s="231">
        <v>455.87505076999992</v>
      </c>
      <c r="H18" s="231">
        <v>666.6498137231556</v>
      </c>
      <c r="I18" s="231">
        <v>667.27777351531472</v>
      </c>
      <c r="J18" s="16">
        <v>10197</v>
      </c>
      <c r="K18" s="236">
        <v>3.0249999999999999E-2</v>
      </c>
      <c r="L18" s="235">
        <f t="shared" si="0"/>
        <v>3.0249999999999999E-2</v>
      </c>
      <c r="N18" s="95">
        <v>199</v>
      </c>
      <c r="O18" s="169">
        <v>0.93400000000000005</v>
      </c>
      <c r="Q18" s="95">
        <v>271</v>
      </c>
      <c r="R18" s="98">
        <v>98.000000000000014</v>
      </c>
      <c r="T18" s="231">
        <v>513.566958</v>
      </c>
      <c r="U18" s="16">
        <v>5100</v>
      </c>
      <c r="V18" s="17">
        <v>3.184E-2</v>
      </c>
      <c r="W18" s="234"/>
      <c r="X18" s="18">
        <v>668.18099912423997</v>
      </c>
      <c r="Y18" s="16">
        <v>10197</v>
      </c>
      <c r="Z18" s="236">
        <v>3.0249999999999999E-2</v>
      </c>
    </row>
    <row r="19" spans="1:26" ht="17.25" thickBot="1">
      <c r="A19" s="231">
        <v>516.00085200000001</v>
      </c>
      <c r="B19" s="231">
        <v>325.09315800000002</v>
      </c>
      <c r="C19" s="231">
        <v>477.515264</v>
      </c>
      <c r="D19" s="231">
        <v>520.93600000000004</v>
      </c>
      <c r="E19" s="231">
        <v>522.21199999999999</v>
      </c>
      <c r="F19" s="231">
        <v>391.38065310000002</v>
      </c>
      <c r="G19" s="231">
        <v>456.09903335999991</v>
      </c>
      <c r="H19" s="231">
        <v>666.99323219123823</v>
      </c>
      <c r="I19" s="231">
        <v>667.63594252399764</v>
      </c>
      <c r="J19" s="16">
        <v>9997</v>
      </c>
      <c r="K19" s="236">
        <v>2.9649999999999999E-2</v>
      </c>
      <c r="L19" s="235">
        <f t="shared" si="0"/>
        <v>2.9649999999999999E-2</v>
      </c>
      <c r="N19" s="95">
        <v>201</v>
      </c>
      <c r="O19" s="169">
        <v>0.93099999999999994</v>
      </c>
      <c r="Q19" s="95">
        <v>272</v>
      </c>
      <c r="R19" s="98">
        <v>97.800000000000011</v>
      </c>
      <c r="T19" s="231">
        <v>513.871488</v>
      </c>
      <c r="U19" s="16">
        <v>4999</v>
      </c>
      <c r="V19" s="17">
        <v>3.1210000000000002E-2</v>
      </c>
      <c r="W19" s="234"/>
      <c r="X19" s="18">
        <v>668.51294873318443</v>
      </c>
      <c r="Y19" s="16">
        <v>9997</v>
      </c>
      <c r="Z19" s="236">
        <v>2.9649999999999999E-2</v>
      </c>
    </row>
    <row r="20" spans="1:26" ht="17.25" thickBot="1">
      <c r="A20" s="232">
        <v>516.30284600000005</v>
      </c>
      <c r="B20" s="232">
        <v>325.24629899999996</v>
      </c>
      <c r="C20" s="232">
        <v>477.66666199999997</v>
      </c>
      <c r="D20" s="232">
        <v>521.16000000000008</v>
      </c>
      <c r="E20" s="232">
        <v>522.47199999999998</v>
      </c>
      <c r="F20" s="232">
        <v>392.10065210000005</v>
      </c>
      <c r="G20" s="232">
        <v>456.30905940999997</v>
      </c>
      <c r="H20" s="232">
        <v>667.26249854946695</v>
      </c>
      <c r="I20" s="232">
        <v>667.86377978161761</v>
      </c>
      <c r="J20" s="164">
        <v>9800</v>
      </c>
      <c r="K20" s="237">
        <v>2.9069999999999999E-2</v>
      </c>
      <c r="L20" s="235">
        <f t="shared" si="0"/>
        <v>2.9069999999999999E-2</v>
      </c>
      <c r="N20" s="95">
        <v>203</v>
      </c>
      <c r="O20" s="169">
        <v>0.92799999999999994</v>
      </c>
      <c r="Q20" s="95">
        <v>273</v>
      </c>
      <c r="R20" s="98">
        <v>97.600000000000009</v>
      </c>
      <c r="T20" s="232">
        <v>514.13971500000002</v>
      </c>
      <c r="U20" s="164">
        <v>4900</v>
      </c>
      <c r="V20" s="19">
        <v>3.0589999999999999E-2</v>
      </c>
      <c r="W20" s="234"/>
      <c r="X20" s="20">
        <v>668.81813397748112</v>
      </c>
      <c r="Y20" s="164">
        <v>9800</v>
      </c>
      <c r="Z20" s="237">
        <v>2.9069999999999999E-2</v>
      </c>
    </row>
    <row r="21" spans="1:26" ht="17.25" thickBot="1">
      <c r="A21" s="231">
        <v>516.56464599999993</v>
      </c>
      <c r="B21" s="231">
        <v>325.36294100000003</v>
      </c>
      <c r="C21" s="231">
        <v>477.92354899999998</v>
      </c>
      <c r="D21" s="231">
        <v>521.42000000000007</v>
      </c>
      <c r="E21" s="231">
        <v>522.74399999999991</v>
      </c>
      <c r="F21" s="231">
        <v>392.19045219999992</v>
      </c>
      <c r="G21" s="231">
        <v>456.57151549999992</v>
      </c>
      <c r="H21" s="231">
        <v>667.47861233180117</v>
      </c>
      <c r="I21" s="231">
        <v>668.0730754429951</v>
      </c>
      <c r="J21" s="21">
        <v>9598</v>
      </c>
      <c r="K21" s="236">
        <v>2.8469999999999999E-2</v>
      </c>
      <c r="L21" s="235">
        <f t="shared" si="0"/>
        <v>2.8469999999999999E-2</v>
      </c>
      <c r="N21" s="95">
        <v>205</v>
      </c>
      <c r="O21" s="169">
        <v>0.92500000000000004</v>
      </c>
      <c r="Q21" s="95">
        <v>274</v>
      </c>
      <c r="R21" s="98">
        <v>97.4</v>
      </c>
      <c r="T21" s="231">
        <v>514.40420699999993</v>
      </c>
      <c r="U21" s="16">
        <v>4798</v>
      </c>
      <c r="V21" s="17">
        <v>2.9960000000000001E-2</v>
      </c>
      <c r="W21" s="234"/>
      <c r="X21" s="18">
        <v>669.00618637234072</v>
      </c>
      <c r="Y21" s="21">
        <v>9598</v>
      </c>
      <c r="Z21" s="236">
        <v>2.8469999999999999E-2</v>
      </c>
    </row>
    <row r="22" spans="1:26" ht="17.25" thickBot="1">
      <c r="A22" s="231">
        <v>516.82546500000001</v>
      </c>
      <c r="B22" s="231">
        <v>325.65864799999997</v>
      </c>
      <c r="C22" s="231">
        <v>478.11017800000002</v>
      </c>
      <c r="D22" s="231">
        <v>521.75199999999995</v>
      </c>
      <c r="E22" s="231">
        <v>522.95600000000002</v>
      </c>
      <c r="F22" s="231">
        <v>392.28001079999996</v>
      </c>
      <c r="G22" s="231">
        <v>456.7220297099999</v>
      </c>
      <c r="H22" s="231">
        <v>667.77498025116972</v>
      </c>
      <c r="I22" s="231">
        <v>668.29920334202802</v>
      </c>
      <c r="J22" s="21">
        <v>9400</v>
      </c>
      <c r="K22" s="236">
        <v>2.7879999999999999E-2</v>
      </c>
      <c r="L22" s="235">
        <f t="shared" si="0"/>
        <v>2.7879999999999999E-2</v>
      </c>
      <c r="N22" s="95">
        <v>206</v>
      </c>
      <c r="O22" s="169">
        <v>0.92200000000000004</v>
      </c>
      <c r="Q22" s="95">
        <v>275</v>
      </c>
      <c r="R22" s="98">
        <v>97.2</v>
      </c>
      <c r="T22" s="231">
        <v>514.65388100000007</v>
      </c>
      <c r="U22" s="16">
        <v>4700</v>
      </c>
      <c r="V22" s="17">
        <v>2.9350000000000001E-2</v>
      </c>
      <c r="W22" s="234"/>
      <c r="X22" s="18">
        <v>669.26788798286566</v>
      </c>
      <c r="Y22" s="21">
        <v>9400</v>
      </c>
      <c r="Z22" s="236">
        <v>2.7879999999999999E-2</v>
      </c>
    </row>
    <row r="23" spans="1:26" ht="17.25" thickBot="1">
      <c r="A23" s="231">
        <v>517.10003900000004</v>
      </c>
      <c r="B23" s="231">
        <v>325.76187100000004</v>
      </c>
      <c r="C23" s="231">
        <v>478.32672100000002</v>
      </c>
      <c r="D23" s="231">
        <v>522.05600000000004</v>
      </c>
      <c r="E23" s="231">
        <v>523.34400000000005</v>
      </c>
      <c r="F23" s="231">
        <v>392.28080699999998</v>
      </c>
      <c r="G23" s="231">
        <v>456.82702719999997</v>
      </c>
      <c r="H23" s="231">
        <v>668.02175638790527</v>
      </c>
      <c r="I23" s="231">
        <v>668.50125799657246</v>
      </c>
      <c r="J23" s="21">
        <v>9197</v>
      </c>
      <c r="K23" s="236">
        <v>2.7279999999999999E-2</v>
      </c>
      <c r="L23" s="235">
        <f t="shared" si="0"/>
        <v>2.7279999999999999E-2</v>
      </c>
      <c r="N23" s="95">
        <v>207</v>
      </c>
      <c r="O23" s="169">
        <v>0.91900000000000004</v>
      </c>
      <c r="Q23" s="95">
        <v>276</v>
      </c>
      <c r="R23" s="98">
        <v>97</v>
      </c>
      <c r="T23" s="231">
        <v>514.920526</v>
      </c>
      <c r="U23" s="16">
        <v>4600</v>
      </c>
      <c r="V23" s="17">
        <v>2.8719999999999999E-2</v>
      </c>
      <c r="W23" s="234"/>
      <c r="X23" s="18">
        <v>669.52817318727136</v>
      </c>
      <c r="Y23" s="21">
        <v>9197</v>
      </c>
      <c r="Z23" s="236">
        <v>2.7279999999999999E-2</v>
      </c>
    </row>
    <row r="24" spans="1:26" ht="17.25" thickBot="1">
      <c r="A24" s="231">
        <v>517.328846</v>
      </c>
      <c r="B24" s="231">
        <v>325.87275299999999</v>
      </c>
      <c r="C24" s="231">
        <v>478.606829</v>
      </c>
      <c r="D24" s="231">
        <v>522.33600000000001</v>
      </c>
      <c r="E24" s="231">
        <v>523.58000000000004</v>
      </c>
      <c r="F24" s="231">
        <v>392.3705392</v>
      </c>
      <c r="G24" s="231">
        <v>457.13502303999991</v>
      </c>
      <c r="H24" s="231">
        <v>668.30294006332201</v>
      </c>
      <c r="I24" s="231">
        <v>668.78875751306123</v>
      </c>
      <c r="J24" s="21">
        <v>8998</v>
      </c>
      <c r="K24" s="236">
        <v>2.6689999999999998E-2</v>
      </c>
      <c r="L24" s="235">
        <f t="shared" si="0"/>
        <v>2.6689999999999998E-2</v>
      </c>
      <c r="N24" s="95">
        <v>209</v>
      </c>
      <c r="O24" s="169">
        <v>0.91599999999999993</v>
      </c>
      <c r="Q24" s="95">
        <v>277</v>
      </c>
      <c r="R24" s="98">
        <v>96.8</v>
      </c>
      <c r="T24" s="231">
        <v>515.28193899999997</v>
      </c>
      <c r="U24" s="16">
        <v>4497</v>
      </c>
      <c r="V24" s="17">
        <v>2.8080000000000001E-2</v>
      </c>
      <c r="W24" s="234"/>
      <c r="X24" s="18">
        <v>669.99771056500754</v>
      </c>
      <c r="Y24" s="21">
        <v>8998</v>
      </c>
      <c r="Z24" s="236">
        <v>2.6689999999999998E-2</v>
      </c>
    </row>
    <row r="25" spans="1:26" ht="17.25" thickBot="1">
      <c r="A25" s="231">
        <v>517.64750000000004</v>
      </c>
      <c r="B25" s="231">
        <v>326.05848900000001</v>
      </c>
      <c r="C25" s="231">
        <v>478.78089700000004</v>
      </c>
      <c r="D25" s="231">
        <v>522.52</v>
      </c>
      <c r="E25" s="231">
        <v>523.75199999999995</v>
      </c>
      <c r="F25" s="231">
        <v>393.09022599999997</v>
      </c>
      <c r="G25" s="231">
        <v>457.4535117399999</v>
      </c>
      <c r="H25" s="231">
        <v>668.61056449541786</v>
      </c>
      <c r="I25" s="231">
        <v>669.11511833826933</v>
      </c>
      <c r="J25" s="21">
        <v>8794</v>
      </c>
      <c r="K25" s="236">
        <v>2.6089999999999999E-2</v>
      </c>
      <c r="L25" s="235">
        <f t="shared" si="0"/>
        <v>2.6089999999999999E-2</v>
      </c>
      <c r="N25" s="95">
        <v>210</v>
      </c>
      <c r="O25" s="169">
        <v>0.91299999999999992</v>
      </c>
      <c r="Q25" s="95">
        <v>278</v>
      </c>
      <c r="R25" s="98">
        <v>96.5</v>
      </c>
      <c r="T25" s="231">
        <v>515.51495599999998</v>
      </c>
      <c r="U25" s="16">
        <v>4399</v>
      </c>
      <c r="V25" s="17">
        <v>2.7459999999999998E-2</v>
      </c>
      <c r="W25" s="234"/>
      <c r="X25" s="18">
        <v>670.18524483156796</v>
      </c>
      <c r="Y25" s="21">
        <v>8794</v>
      </c>
      <c r="Z25" s="236">
        <v>2.6089999999999999E-2</v>
      </c>
    </row>
    <row r="26" spans="1:26" ht="17.25" thickBot="1">
      <c r="A26" s="231">
        <v>517.82545299999992</v>
      </c>
      <c r="B26" s="231">
        <v>326.15623099999999</v>
      </c>
      <c r="C26" s="231">
        <v>478.993786</v>
      </c>
      <c r="D26" s="231">
        <v>522.73199999999997</v>
      </c>
      <c r="E26" s="231">
        <v>524.05200000000002</v>
      </c>
      <c r="F26" s="231">
        <v>393.18015819999999</v>
      </c>
      <c r="G26" s="231">
        <v>457.70902942999993</v>
      </c>
      <c r="H26" s="231">
        <v>669.04496164706552</v>
      </c>
      <c r="I26" s="231">
        <v>669.35151556078688</v>
      </c>
      <c r="J26" s="21">
        <v>8595</v>
      </c>
      <c r="K26" s="236">
        <v>2.5489999999999999E-2</v>
      </c>
      <c r="L26" s="235">
        <f t="shared" si="0"/>
        <v>2.5489999999999999E-2</v>
      </c>
      <c r="N26" s="95">
        <v>211</v>
      </c>
      <c r="O26" s="169">
        <v>0.91</v>
      </c>
      <c r="Q26" s="95">
        <v>279</v>
      </c>
      <c r="R26" s="98">
        <v>96.2</v>
      </c>
      <c r="T26" s="232">
        <v>515.77709899999991</v>
      </c>
      <c r="U26" s="164">
        <v>4298</v>
      </c>
      <c r="V26" s="19">
        <v>2.683E-2</v>
      </c>
      <c r="W26" s="234"/>
      <c r="X26" s="18">
        <v>670.49621989085676</v>
      </c>
      <c r="Y26" s="21">
        <v>8595</v>
      </c>
      <c r="Z26" s="236">
        <v>2.5489999999999999E-2</v>
      </c>
    </row>
    <row r="27" spans="1:26" ht="17.25" thickBot="1">
      <c r="A27" s="232">
        <v>518.08563300000003</v>
      </c>
      <c r="B27" s="232">
        <v>326.27988799999997</v>
      </c>
      <c r="C27" s="232">
        <v>479.21494700000005</v>
      </c>
      <c r="D27" s="232">
        <v>522.99199999999996</v>
      </c>
      <c r="E27" s="232">
        <v>524.20000000000005</v>
      </c>
      <c r="F27" s="232">
        <v>393.18057470000002</v>
      </c>
      <c r="G27" s="232">
        <v>457.78254190999991</v>
      </c>
      <c r="H27" s="232">
        <v>669.34473290534083</v>
      </c>
      <c r="I27" s="232">
        <v>669.66640484096922</v>
      </c>
      <c r="J27" s="22">
        <v>8400</v>
      </c>
      <c r="K27" s="237">
        <v>2.4920000000000001E-2</v>
      </c>
      <c r="L27" s="235">
        <f t="shared" si="0"/>
        <v>2.4920000000000001E-2</v>
      </c>
      <c r="N27" s="95">
        <v>212</v>
      </c>
      <c r="O27" s="169">
        <v>0.90700000000000003</v>
      </c>
      <c r="Q27" s="95">
        <v>280</v>
      </c>
      <c r="R27" s="98">
        <v>95.9</v>
      </c>
      <c r="T27" s="231">
        <v>516.05434600000001</v>
      </c>
      <c r="U27" s="16">
        <v>4198</v>
      </c>
      <c r="V27" s="17">
        <v>2.6210000000000001E-2</v>
      </c>
      <c r="W27" s="234"/>
      <c r="X27" s="20">
        <v>670.7783670373309</v>
      </c>
      <c r="Y27" s="22">
        <v>8400</v>
      </c>
      <c r="Z27" s="237">
        <v>2.4920000000000001E-2</v>
      </c>
    </row>
    <row r="28" spans="1:26" ht="17.25" thickBot="1">
      <c r="A28" s="231">
        <v>518.34695500000009</v>
      </c>
      <c r="B28" s="231">
        <v>326.41699199999999</v>
      </c>
      <c r="C28" s="231">
        <v>479.45918300000005</v>
      </c>
      <c r="D28" s="231">
        <v>523.16800000000012</v>
      </c>
      <c r="E28" s="231">
        <v>524.41200000000003</v>
      </c>
      <c r="F28" s="231">
        <v>393.27024600000004</v>
      </c>
      <c r="G28" s="231">
        <v>457.92600072999994</v>
      </c>
      <c r="H28" s="231">
        <v>669.6518605403819</v>
      </c>
      <c r="I28" s="231">
        <v>670.06935481972175</v>
      </c>
      <c r="J28" s="21">
        <v>8193</v>
      </c>
      <c r="K28" s="236">
        <v>2.4299999999999999E-2</v>
      </c>
      <c r="L28" s="235">
        <f t="shared" si="0"/>
        <v>2.4299999999999999E-2</v>
      </c>
      <c r="N28" s="95">
        <v>214</v>
      </c>
      <c r="O28" s="169">
        <v>0.90099999999999991</v>
      </c>
      <c r="Q28" s="95">
        <v>281</v>
      </c>
      <c r="R28" s="98">
        <v>95.6</v>
      </c>
      <c r="T28" s="231">
        <v>516.32149500000003</v>
      </c>
      <c r="U28" s="16">
        <v>4099</v>
      </c>
      <c r="V28" s="17">
        <v>2.5590000000000002E-2</v>
      </c>
      <c r="W28" s="234"/>
      <c r="X28" s="18">
        <v>671.15316042647498</v>
      </c>
      <c r="Y28" s="21">
        <v>8193</v>
      </c>
      <c r="Z28" s="236">
        <v>2.4299999999999999E-2</v>
      </c>
    </row>
    <row r="29" spans="1:26" ht="17.25" thickBot="1">
      <c r="A29" s="231">
        <v>518.58111100000008</v>
      </c>
      <c r="B29" s="231">
        <v>326.58398799999998</v>
      </c>
      <c r="C29" s="231">
        <v>479.624145</v>
      </c>
      <c r="D29" s="231">
        <v>523.35199999999998</v>
      </c>
      <c r="E29" s="231">
        <v>524.69200000000012</v>
      </c>
      <c r="F29" s="231">
        <v>393.3600189</v>
      </c>
      <c r="G29" s="231">
        <v>458.19901987999998</v>
      </c>
      <c r="H29" s="231">
        <v>669.91133818713115</v>
      </c>
      <c r="I29" s="231">
        <v>670.35972868907788</v>
      </c>
      <c r="J29" s="21">
        <v>7999</v>
      </c>
      <c r="K29" s="236">
        <v>2.3730000000000001E-2</v>
      </c>
      <c r="L29" s="235">
        <f t="shared" si="0"/>
        <v>2.3730000000000001E-2</v>
      </c>
      <c r="N29" s="95">
        <v>215</v>
      </c>
      <c r="O29" s="169">
        <v>0.89800000000000002</v>
      </c>
      <c r="Q29" s="95">
        <v>282</v>
      </c>
      <c r="R29" s="98">
        <v>95.3</v>
      </c>
      <c r="T29" s="231">
        <v>516.65616999999997</v>
      </c>
      <c r="U29" s="16">
        <v>3998</v>
      </c>
      <c r="V29" s="17">
        <v>2.496E-2</v>
      </c>
      <c r="W29" s="234"/>
      <c r="X29" s="18">
        <v>671.44374926505236</v>
      </c>
      <c r="Y29" s="21">
        <v>7999</v>
      </c>
      <c r="Z29" s="236">
        <v>2.3730000000000001E-2</v>
      </c>
    </row>
    <row r="30" spans="1:26" ht="17.25" thickBot="1">
      <c r="A30" s="231">
        <v>518.82754</v>
      </c>
      <c r="B30" s="231">
        <v>326.77470400000004</v>
      </c>
      <c r="C30" s="231">
        <v>479.907149</v>
      </c>
      <c r="D30" s="231">
        <v>523.59600000000012</v>
      </c>
      <c r="E30" s="231">
        <v>524.92400000000009</v>
      </c>
      <c r="F30" s="231">
        <v>393.9602653</v>
      </c>
      <c r="G30" s="231">
        <v>458.41951878999993</v>
      </c>
      <c r="H30" s="231">
        <v>670.31210036866548</v>
      </c>
      <c r="I30" s="231">
        <v>670.68940305333388</v>
      </c>
      <c r="J30" s="21">
        <v>7794</v>
      </c>
      <c r="K30" s="236">
        <v>2.3120000000000002E-2</v>
      </c>
      <c r="L30" s="235">
        <f t="shared" si="0"/>
        <v>2.3120000000000002E-2</v>
      </c>
      <c r="N30" s="95">
        <v>218</v>
      </c>
      <c r="O30" s="169">
        <v>0.89400000000000002</v>
      </c>
      <c r="Q30" s="95">
        <v>283</v>
      </c>
      <c r="R30" s="98">
        <v>95</v>
      </c>
      <c r="T30" s="231">
        <v>516.90950599999996</v>
      </c>
      <c r="U30" s="16">
        <v>3900</v>
      </c>
      <c r="V30" s="17">
        <v>2.435E-2</v>
      </c>
      <c r="W30" s="234"/>
      <c r="X30" s="18">
        <v>671.73976127316814</v>
      </c>
      <c r="Y30" s="21">
        <v>7794</v>
      </c>
      <c r="Z30" s="236">
        <v>2.3120000000000002E-2</v>
      </c>
    </row>
    <row r="31" spans="1:26" ht="17.25" thickBot="1">
      <c r="A31" s="231">
        <v>519.09442899999999</v>
      </c>
      <c r="B31" s="231">
        <v>326.87606999999997</v>
      </c>
      <c r="C31" s="231">
        <v>480.14475199999998</v>
      </c>
      <c r="D31" s="231">
        <v>523.83199999999999</v>
      </c>
      <c r="E31" s="231">
        <v>525.15200000000004</v>
      </c>
      <c r="F31" s="231">
        <v>394.1702148</v>
      </c>
      <c r="G31" s="231">
        <v>458.60850148999992</v>
      </c>
      <c r="H31" s="231">
        <v>670.60832782551222</v>
      </c>
      <c r="I31" s="231">
        <v>671.06478259845358</v>
      </c>
      <c r="J31" s="21">
        <v>7594</v>
      </c>
      <c r="K31" s="236">
        <v>2.2530000000000001E-2</v>
      </c>
      <c r="L31" s="235">
        <f t="shared" si="0"/>
        <v>2.2530000000000001E-2</v>
      </c>
      <c r="N31" s="95">
        <v>219</v>
      </c>
      <c r="O31" s="169">
        <v>0.88800000000000001</v>
      </c>
      <c r="Q31" s="95">
        <v>284</v>
      </c>
      <c r="R31" s="98">
        <v>94.7</v>
      </c>
      <c r="T31" s="231">
        <v>517.19714099999999</v>
      </c>
      <c r="U31" s="21">
        <v>3798</v>
      </c>
      <c r="V31" s="17">
        <v>2.3709999999999998E-2</v>
      </c>
      <c r="W31" s="234"/>
      <c r="X31" s="18">
        <v>672.03997502653158</v>
      </c>
      <c r="Y31" s="21">
        <v>7594</v>
      </c>
      <c r="Z31" s="236">
        <v>2.2530000000000001E-2</v>
      </c>
    </row>
    <row r="32" spans="1:26" ht="17.25" thickBot="1">
      <c r="A32" s="231">
        <v>519.36003300000004</v>
      </c>
      <c r="B32" s="231">
        <v>327.08710200000002</v>
      </c>
      <c r="C32" s="231">
        <v>480.38304500000004</v>
      </c>
      <c r="D32" s="231">
        <v>524.07999999999993</v>
      </c>
      <c r="E32" s="231">
        <v>525.39199999999994</v>
      </c>
      <c r="F32" s="231">
        <v>394.17070539999997</v>
      </c>
      <c r="G32" s="231">
        <v>458.82905165999995</v>
      </c>
      <c r="H32" s="231">
        <v>670.9964077774938</v>
      </c>
      <c r="I32" s="231">
        <v>671.46601943167991</v>
      </c>
      <c r="J32" s="21">
        <v>7399</v>
      </c>
      <c r="K32" s="236">
        <v>2.1950000000000001E-2</v>
      </c>
      <c r="L32" s="235">
        <f t="shared" si="0"/>
        <v>2.1950000000000001E-2</v>
      </c>
      <c r="N32" s="95">
        <v>221</v>
      </c>
      <c r="O32" s="169">
        <v>0.88500000000000001</v>
      </c>
      <c r="Q32" s="95">
        <v>285</v>
      </c>
      <c r="R32" s="98">
        <v>94.4</v>
      </c>
      <c r="T32" s="231">
        <v>517.425478</v>
      </c>
      <c r="U32" s="21">
        <v>3699</v>
      </c>
      <c r="V32" s="17">
        <v>2.3089999999999999E-2</v>
      </c>
      <c r="W32" s="234"/>
      <c r="X32" s="18">
        <v>672.36553119362395</v>
      </c>
      <c r="Y32" s="21">
        <v>7399</v>
      </c>
      <c r="Z32" s="236">
        <v>2.1950000000000001E-2</v>
      </c>
    </row>
    <row r="33" spans="1:26" ht="17.25" thickBot="1">
      <c r="A33" s="231">
        <v>519.52409699999998</v>
      </c>
      <c r="B33" s="231">
        <v>327.23834900000003</v>
      </c>
      <c r="C33" s="231">
        <v>480.62303500000002</v>
      </c>
      <c r="D33" s="231">
        <v>524.37199999999996</v>
      </c>
      <c r="E33" s="231">
        <v>525.65200000000004</v>
      </c>
      <c r="F33" s="231">
        <v>394.26040039999998</v>
      </c>
      <c r="G33" s="231">
        <v>458.97600586999994</v>
      </c>
      <c r="H33" s="231">
        <v>671.43297922509737</v>
      </c>
      <c r="I33" s="231">
        <v>671.7831421993277</v>
      </c>
      <c r="J33" s="21">
        <v>7194</v>
      </c>
      <c r="K33" s="236">
        <v>2.1340000000000001E-2</v>
      </c>
      <c r="L33" s="235">
        <f t="shared" si="0"/>
        <v>2.1340000000000001E-2</v>
      </c>
      <c r="N33" s="95">
        <v>223</v>
      </c>
      <c r="O33" s="169">
        <v>0.875</v>
      </c>
      <c r="Q33" s="95">
        <v>286</v>
      </c>
      <c r="R33" s="98">
        <v>94.1</v>
      </c>
      <c r="T33" s="231">
        <v>517.75040300000001</v>
      </c>
      <c r="U33" s="21">
        <v>3598</v>
      </c>
      <c r="V33" s="17">
        <v>2.247E-2</v>
      </c>
      <c r="W33" s="234"/>
      <c r="X33" s="18">
        <v>672.8758342042438</v>
      </c>
      <c r="Y33" s="21">
        <v>7194</v>
      </c>
      <c r="Z33" s="236">
        <v>2.1340000000000001E-2</v>
      </c>
    </row>
    <row r="34" spans="1:26" ht="17.25" thickBot="1">
      <c r="A34" s="231">
        <v>519.77808599999992</v>
      </c>
      <c r="B34" s="231">
        <v>327.48803100000003</v>
      </c>
      <c r="C34" s="231">
        <v>480.90767199999999</v>
      </c>
      <c r="D34" s="231">
        <v>524.63199999999995</v>
      </c>
      <c r="E34" s="231">
        <v>525.96</v>
      </c>
      <c r="F34" s="231">
        <v>394.35026200000004</v>
      </c>
      <c r="G34" s="231">
        <v>459.33300887999991</v>
      </c>
      <c r="H34" s="231">
        <v>671.85953843300706</v>
      </c>
      <c r="I34" s="231">
        <v>672.17026718398142</v>
      </c>
      <c r="J34" s="21">
        <v>6995</v>
      </c>
      <c r="K34" s="236">
        <v>2.0750000000000001E-2</v>
      </c>
      <c r="L34" s="235">
        <f t="shared" si="0"/>
        <v>2.0750000000000001E-2</v>
      </c>
      <c r="N34" s="95">
        <v>224</v>
      </c>
      <c r="O34" s="169">
        <v>0.871</v>
      </c>
      <c r="Q34" s="95">
        <v>287</v>
      </c>
      <c r="R34" s="98">
        <v>93.7</v>
      </c>
      <c r="T34" s="231">
        <v>518.06100100000003</v>
      </c>
      <c r="U34" s="21">
        <v>3499</v>
      </c>
      <c r="V34" s="17">
        <v>2.1839999999999998E-2</v>
      </c>
      <c r="W34" s="234"/>
      <c r="X34" s="18">
        <v>673.1376438759911</v>
      </c>
      <c r="Y34" s="21">
        <v>6995</v>
      </c>
      <c r="Z34" s="236">
        <v>2.0750000000000001E-2</v>
      </c>
    </row>
    <row r="35" spans="1:26" ht="17.25" thickBot="1">
      <c r="A35" s="231">
        <v>520.12814300000002</v>
      </c>
      <c r="B35" s="231">
        <v>327.63313099999999</v>
      </c>
      <c r="C35" s="231">
        <v>481.19802199999998</v>
      </c>
      <c r="D35" s="231">
        <v>524.952</v>
      </c>
      <c r="E35" s="231">
        <v>526.32000000000005</v>
      </c>
      <c r="F35" s="231">
        <v>395.07017009999993</v>
      </c>
      <c r="G35" s="231">
        <v>459.66553433999997</v>
      </c>
      <c r="H35" s="231">
        <v>672.08175019214309</v>
      </c>
      <c r="I35" s="231">
        <v>672.51375360292877</v>
      </c>
      <c r="J35" s="21">
        <v>6794</v>
      </c>
      <c r="K35" s="236">
        <v>2.0150000000000001E-2</v>
      </c>
      <c r="L35" s="235">
        <f t="shared" si="0"/>
        <v>2.0150000000000001E-2</v>
      </c>
      <c r="N35" s="95">
        <v>225</v>
      </c>
      <c r="O35" s="169">
        <v>0.86499999999999999</v>
      </c>
      <c r="Q35" s="95">
        <v>288</v>
      </c>
      <c r="R35" s="98">
        <v>93.4</v>
      </c>
      <c r="T35" s="231">
        <v>518.43273499999998</v>
      </c>
      <c r="U35" s="21">
        <v>3400</v>
      </c>
      <c r="V35" s="17">
        <v>2.1229999999999999E-2</v>
      </c>
      <c r="W35" s="234"/>
      <c r="X35" s="18">
        <v>673.43217197299032</v>
      </c>
      <c r="Y35" s="21">
        <v>6794</v>
      </c>
      <c r="Z35" s="236">
        <v>2.0150000000000001E-2</v>
      </c>
    </row>
    <row r="36" spans="1:26" ht="17.25" thickBot="1">
      <c r="A36" s="231">
        <v>520.42446099999995</v>
      </c>
      <c r="B36" s="231">
        <v>327.80150300000003</v>
      </c>
      <c r="C36" s="231">
        <v>481.471632</v>
      </c>
      <c r="D36" s="231">
        <v>525.38</v>
      </c>
      <c r="E36" s="231">
        <v>526.70000000000005</v>
      </c>
      <c r="F36" s="231">
        <v>395.1602785</v>
      </c>
      <c r="G36" s="231">
        <v>459.87901533999997</v>
      </c>
      <c r="H36" s="231">
        <v>672.44345035717015</v>
      </c>
      <c r="I36" s="231">
        <v>672.83648568401077</v>
      </c>
      <c r="J36" s="21">
        <v>6599</v>
      </c>
      <c r="K36" s="236">
        <v>1.9570000000000001E-2</v>
      </c>
      <c r="L36" s="235">
        <f t="shared" si="0"/>
        <v>1.9570000000000001E-2</v>
      </c>
      <c r="N36" s="95">
        <v>226</v>
      </c>
      <c r="O36" s="169">
        <v>0.86199999999999999</v>
      </c>
      <c r="Q36" s="95">
        <v>289</v>
      </c>
      <c r="R36" s="98">
        <v>93.1</v>
      </c>
      <c r="T36" s="231">
        <v>518.783547</v>
      </c>
      <c r="U36" s="21">
        <v>3299</v>
      </c>
      <c r="V36" s="17">
        <v>2.06E-2</v>
      </c>
      <c r="W36" s="234"/>
      <c r="X36" s="18">
        <v>673.86612763144853</v>
      </c>
      <c r="Y36" s="21">
        <v>6599</v>
      </c>
      <c r="Z36" s="236">
        <v>1.9570000000000001E-2</v>
      </c>
    </row>
    <row r="37" spans="1:26" ht="17.25" thickBot="1">
      <c r="A37" s="231">
        <v>520.76235899999995</v>
      </c>
      <c r="B37" s="231">
        <v>327.99883</v>
      </c>
      <c r="C37" s="231">
        <v>481.83454399999999</v>
      </c>
      <c r="D37" s="231">
        <v>525.68799999999999</v>
      </c>
      <c r="E37" s="231">
        <v>526.87200000000007</v>
      </c>
      <c r="F37" s="231">
        <v>395.25029430000001</v>
      </c>
      <c r="G37" s="231">
        <v>460.02605212999993</v>
      </c>
      <c r="H37" s="231">
        <v>672.93933196060311</v>
      </c>
      <c r="I37" s="231">
        <v>673.31134644783367</v>
      </c>
      <c r="J37" s="21">
        <v>6396</v>
      </c>
      <c r="K37" s="236">
        <v>1.8970000000000001E-2</v>
      </c>
      <c r="L37" s="235">
        <f t="shared" si="0"/>
        <v>1.8970000000000001E-2</v>
      </c>
      <c r="N37" s="95">
        <v>227</v>
      </c>
      <c r="O37" s="169">
        <v>0.85799999999999998</v>
      </c>
      <c r="Q37" s="95">
        <v>290</v>
      </c>
      <c r="R37" s="98">
        <v>92.8</v>
      </c>
      <c r="T37" s="231">
        <v>519.13209000000006</v>
      </c>
      <c r="U37" s="21">
        <v>3200</v>
      </c>
      <c r="V37" s="17">
        <v>1.9980000000000001E-2</v>
      </c>
      <c r="W37" s="234"/>
      <c r="X37" s="18">
        <v>674.28179209887765</v>
      </c>
      <c r="Y37" s="21">
        <v>6396</v>
      </c>
      <c r="Z37" s="236">
        <v>1.8970000000000001E-2</v>
      </c>
    </row>
    <row r="38" spans="1:26" ht="17.25" thickBot="1">
      <c r="A38" s="231">
        <v>521.14640299999996</v>
      </c>
      <c r="B38" s="231">
        <v>328.20254399999999</v>
      </c>
      <c r="C38" s="231">
        <v>482.13156799999996</v>
      </c>
      <c r="D38" s="231">
        <v>525.97200000000009</v>
      </c>
      <c r="E38" s="231">
        <v>527.17200000000003</v>
      </c>
      <c r="F38" s="231">
        <v>395.34009050000003</v>
      </c>
      <c r="G38" s="231">
        <v>460.51252381999996</v>
      </c>
      <c r="H38" s="231">
        <v>673.29411865612531</v>
      </c>
      <c r="I38" s="231">
        <v>673.62632472109215</v>
      </c>
      <c r="J38" s="21">
        <v>6199</v>
      </c>
      <c r="K38" s="236">
        <v>1.839E-2</v>
      </c>
      <c r="L38" s="235">
        <f t="shared" si="0"/>
        <v>1.839E-2</v>
      </c>
      <c r="N38" s="95">
        <v>228</v>
      </c>
      <c r="O38" s="169">
        <v>0.85499999999999998</v>
      </c>
      <c r="Q38" s="95">
        <v>291</v>
      </c>
      <c r="R38" s="98">
        <v>92.5</v>
      </c>
      <c r="T38" s="231">
        <v>519.47121600000003</v>
      </c>
      <c r="U38" s="21">
        <v>3098</v>
      </c>
      <c r="V38" s="17">
        <v>1.934E-2</v>
      </c>
      <c r="W38" s="234"/>
      <c r="X38" s="18">
        <v>674.74110102984741</v>
      </c>
      <c r="Y38" s="21">
        <v>6199</v>
      </c>
      <c r="Z38" s="236">
        <v>1.839E-2</v>
      </c>
    </row>
    <row r="39" spans="1:26" ht="17.25" thickBot="1">
      <c r="A39" s="231">
        <v>521.49658899999997</v>
      </c>
      <c r="B39" s="231">
        <v>328.35114600000003</v>
      </c>
      <c r="C39" s="231">
        <v>482.32649900000001</v>
      </c>
      <c r="D39" s="231">
        <v>526.28800000000001</v>
      </c>
      <c r="E39" s="231">
        <v>527.48</v>
      </c>
      <c r="F39" s="231">
        <v>396.0606439</v>
      </c>
      <c r="G39" s="231">
        <v>460.77854168999994</v>
      </c>
      <c r="H39" s="231">
        <v>673.65878417581973</v>
      </c>
      <c r="I39" s="231">
        <v>674.09867699978952</v>
      </c>
      <c r="J39" s="21">
        <v>5996</v>
      </c>
      <c r="K39" s="236">
        <v>1.779E-2</v>
      </c>
      <c r="L39" s="235">
        <f t="shared" si="0"/>
        <v>1.779E-2</v>
      </c>
      <c r="N39" s="95">
        <v>230</v>
      </c>
      <c r="O39" s="169">
        <v>0.85199999999999998</v>
      </c>
      <c r="Q39" s="95">
        <v>292</v>
      </c>
      <c r="R39" s="98">
        <v>92.2</v>
      </c>
      <c r="T39" s="231">
        <v>519.72703999999999</v>
      </c>
      <c r="U39" s="21">
        <v>3000</v>
      </c>
      <c r="V39" s="17">
        <v>1.873E-2</v>
      </c>
      <c r="W39" s="234"/>
      <c r="X39" s="18">
        <v>675.06607578555554</v>
      </c>
      <c r="Y39" s="21">
        <v>5996</v>
      </c>
      <c r="Z39" s="236">
        <v>1.779E-2</v>
      </c>
    </row>
    <row r="40" spans="1:26" ht="17.25" thickBot="1">
      <c r="A40" s="231">
        <v>521.87975799999992</v>
      </c>
      <c r="B40" s="231">
        <v>328.60224800000003</v>
      </c>
      <c r="C40" s="231">
        <v>482.63338199999998</v>
      </c>
      <c r="D40" s="231">
        <v>526.572</v>
      </c>
      <c r="E40" s="231">
        <v>527.79600000000005</v>
      </c>
      <c r="F40" s="231">
        <v>396.1506402</v>
      </c>
      <c r="G40" s="231">
        <v>460.92903957999999</v>
      </c>
      <c r="H40" s="231">
        <v>674.14806695501738</v>
      </c>
      <c r="I40" s="231">
        <v>674.55301181112293</v>
      </c>
      <c r="J40" s="21">
        <v>5800</v>
      </c>
      <c r="K40" s="236">
        <v>1.72E-2</v>
      </c>
      <c r="L40" s="235">
        <f t="shared" si="0"/>
        <v>1.72E-2</v>
      </c>
      <c r="N40" s="95">
        <v>232</v>
      </c>
      <c r="O40" s="169">
        <v>0.84499999999999997</v>
      </c>
      <c r="Q40" s="95">
        <v>293</v>
      </c>
      <c r="R40" s="98">
        <v>91.9</v>
      </c>
      <c r="T40" s="231">
        <v>520.07881199999997</v>
      </c>
      <c r="U40" s="21">
        <v>2898</v>
      </c>
      <c r="V40" s="17">
        <v>1.8089999999999998E-2</v>
      </c>
      <c r="W40" s="234"/>
      <c r="X40" s="18">
        <v>675.38716886568716</v>
      </c>
      <c r="Y40" s="21">
        <v>5800</v>
      </c>
      <c r="Z40" s="236">
        <v>1.72E-2</v>
      </c>
    </row>
    <row r="41" spans="1:26" ht="17.25" thickBot="1">
      <c r="A41" s="231">
        <v>522.24886100000003</v>
      </c>
      <c r="B41" s="231">
        <v>328.759412</v>
      </c>
      <c r="C41" s="231">
        <v>482.89989499999996</v>
      </c>
      <c r="D41" s="231">
        <v>526.96</v>
      </c>
      <c r="E41" s="231">
        <v>528.07999999999993</v>
      </c>
      <c r="F41" s="231">
        <v>396.24028179999999</v>
      </c>
      <c r="G41" s="231">
        <v>461.07603737999995</v>
      </c>
      <c r="H41" s="231">
        <v>674.56064631389017</v>
      </c>
      <c r="I41" s="231">
        <v>674.980528966517</v>
      </c>
      <c r="J41" s="21">
        <v>5598</v>
      </c>
      <c r="K41" s="236">
        <v>1.66E-2</v>
      </c>
      <c r="L41" s="235">
        <f t="shared" si="0"/>
        <v>1.66E-2</v>
      </c>
      <c r="N41" s="95">
        <v>234</v>
      </c>
      <c r="O41" s="169">
        <v>0.83499999999999996</v>
      </c>
      <c r="Q41" s="95">
        <v>294</v>
      </c>
      <c r="R41" s="98">
        <v>91.6</v>
      </c>
      <c r="T41" s="231">
        <v>520.45693499999993</v>
      </c>
      <c r="U41" s="21">
        <v>2800</v>
      </c>
      <c r="V41" s="17">
        <v>1.7479999999999999E-2</v>
      </c>
      <c r="W41" s="234"/>
      <c r="X41" s="18">
        <v>675.80791874613715</v>
      </c>
      <c r="Y41" s="21">
        <v>5598</v>
      </c>
      <c r="Z41" s="236">
        <v>1.66E-2</v>
      </c>
    </row>
    <row r="42" spans="1:26" ht="17.25" thickBot="1">
      <c r="A42" s="231">
        <v>522.58542799999998</v>
      </c>
      <c r="B42" s="231">
        <v>329.01623600000005</v>
      </c>
      <c r="C42" s="231">
        <v>483.28691900000001</v>
      </c>
      <c r="D42" s="231">
        <v>527.25199999999995</v>
      </c>
      <c r="E42" s="231">
        <v>528.48</v>
      </c>
      <c r="F42" s="231">
        <v>396.24090840000002</v>
      </c>
      <c r="G42" s="231">
        <v>461.60805490999996</v>
      </c>
      <c r="H42" s="231">
        <v>674.86857918396788</v>
      </c>
      <c r="I42" s="231">
        <v>675.54282648948106</v>
      </c>
      <c r="J42" s="21">
        <v>5397</v>
      </c>
      <c r="K42" s="236">
        <v>1.601E-2</v>
      </c>
      <c r="L42" s="235">
        <f t="shared" si="0"/>
        <v>1.601E-2</v>
      </c>
      <c r="N42" s="95">
        <v>235</v>
      </c>
      <c r="O42" s="169">
        <v>0.83200000000000007</v>
      </c>
      <c r="Q42" s="95">
        <v>295</v>
      </c>
      <c r="R42" s="98">
        <v>91.3</v>
      </c>
      <c r="T42" s="232">
        <v>520.80045900000005</v>
      </c>
      <c r="U42" s="22">
        <v>2700</v>
      </c>
      <c r="V42" s="19">
        <v>1.685E-2</v>
      </c>
      <c r="W42" s="234"/>
      <c r="X42" s="18">
        <v>676.28534182362671</v>
      </c>
      <c r="Y42" s="21">
        <v>5397</v>
      </c>
      <c r="Z42" s="236">
        <v>1.601E-2</v>
      </c>
    </row>
    <row r="43" spans="1:26" ht="17.25" thickBot="1">
      <c r="A43" s="231">
        <v>522.83977900000002</v>
      </c>
      <c r="B43" s="231">
        <v>329.22992099999999</v>
      </c>
      <c r="C43" s="231">
        <v>483.54002200000002</v>
      </c>
      <c r="D43" s="231">
        <v>527.57999999999993</v>
      </c>
      <c r="E43" s="231">
        <v>528.93200000000002</v>
      </c>
      <c r="F43" s="231">
        <v>396.33074370000003</v>
      </c>
      <c r="G43" s="231">
        <v>461.88102659999998</v>
      </c>
      <c r="H43" s="231">
        <v>675.38447835150805</v>
      </c>
      <c r="I43" s="231">
        <v>675.88388072189935</v>
      </c>
      <c r="J43" s="21">
        <v>5196</v>
      </c>
      <c r="K43" s="236">
        <v>1.541E-2</v>
      </c>
      <c r="L43" s="235">
        <f t="shared" si="0"/>
        <v>1.541E-2</v>
      </c>
      <c r="N43" s="95">
        <v>237</v>
      </c>
      <c r="O43" s="169">
        <v>0.82599999999999996</v>
      </c>
      <c r="Q43" s="95">
        <v>296</v>
      </c>
      <c r="R43" s="98">
        <v>91</v>
      </c>
      <c r="T43" s="231">
        <v>521.03257900000006</v>
      </c>
      <c r="U43" s="21">
        <v>2598</v>
      </c>
      <c r="V43" s="17">
        <v>1.6219999999999998E-2</v>
      </c>
      <c r="W43" s="234"/>
      <c r="X43" s="18">
        <v>676.62212798099267</v>
      </c>
      <c r="Y43" s="21">
        <v>5196</v>
      </c>
      <c r="Z43" s="236">
        <v>1.541E-2</v>
      </c>
    </row>
    <row r="44" spans="1:26" ht="17.25" thickBot="1">
      <c r="A44" s="232">
        <v>523.24286400000005</v>
      </c>
      <c r="B44" s="232">
        <v>329.40249999999997</v>
      </c>
      <c r="C44" s="232">
        <v>483.86807299999998</v>
      </c>
      <c r="D44" s="232">
        <v>527.97199999999998</v>
      </c>
      <c r="E44" s="232">
        <v>529.23199999999997</v>
      </c>
      <c r="F44" s="232">
        <v>397.23007699999999</v>
      </c>
      <c r="G44" s="232">
        <v>462.02801216999995</v>
      </c>
      <c r="H44" s="232">
        <v>676.03355885968756</v>
      </c>
      <c r="I44" s="232">
        <v>676.35150801983798</v>
      </c>
      <c r="J44" s="22">
        <v>4998</v>
      </c>
      <c r="K44" s="237">
        <v>1.482E-2</v>
      </c>
      <c r="L44" s="235">
        <f t="shared" si="0"/>
        <v>1.482E-2</v>
      </c>
      <c r="N44" s="96">
        <v>238</v>
      </c>
      <c r="O44" s="169">
        <v>0.82200000000000006</v>
      </c>
      <c r="Q44" s="95">
        <v>297</v>
      </c>
      <c r="R44" s="98">
        <v>90.7</v>
      </c>
      <c r="T44" s="231">
        <v>521.38358299999993</v>
      </c>
      <c r="U44" s="21">
        <v>2500</v>
      </c>
      <c r="V44" s="17">
        <v>1.5610000000000001E-2</v>
      </c>
      <c r="W44" s="234"/>
      <c r="X44" s="20">
        <v>677.14075911140219</v>
      </c>
      <c r="Y44" s="22">
        <v>4998</v>
      </c>
      <c r="Z44" s="237">
        <v>1.482E-2</v>
      </c>
    </row>
    <row r="45" spans="1:26" ht="17.25" thickBot="1">
      <c r="A45" s="231">
        <v>523.427819</v>
      </c>
      <c r="B45" s="231">
        <v>329.47316999999998</v>
      </c>
      <c r="C45" s="231">
        <v>483.95475999999996</v>
      </c>
      <c r="D45" s="231">
        <v>528.08799999999997</v>
      </c>
      <c r="E45" s="231">
        <v>529.428</v>
      </c>
      <c r="F45" s="231">
        <v>397.23039790000001</v>
      </c>
      <c r="G45" s="231">
        <v>462.0805300699999</v>
      </c>
      <c r="H45" s="231">
        <v>676.2561193794777</v>
      </c>
      <c r="I45" s="231">
        <v>676.66212798686172</v>
      </c>
      <c r="J45" s="21">
        <v>4900</v>
      </c>
      <c r="K45" s="236">
        <v>1.453E-2</v>
      </c>
      <c r="L45" s="235">
        <f t="shared" si="0"/>
        <v>1.453E-2</v>
      </c>
      <c r="N45" s="95">
        <v>239</v>
      </c>
      <c r="O45" s="169">
        <v>0.81900000000000006</v>
      </c>
      <c r="Q45" s="95">
        <v>298</v>
      </c>
      <c r="R45" s="98">
        <v>90.4</v>
      </c>
      <c r="T45" s="231">
        <v>521.60120200000006</v>
      </c>
      <c r="U45" s="21">
        <v>2450</v>
      </c>
      <c r="V45" s="17">
        <v>1.5299999999999999E-2</v>
      </c>
      <c r="W45" s="234"/>
      <c r="X45" s="18">
        <v>677.32534636393848</v>
      </c>
      <c r="Y45" s="21">
        <v>4900</v>
      </c>
      <c r="Z45" s="236">
        <v>1.453E-2</v>
      </c>
    </row>
    <row r="46" spans="1:26" ht="17.25" thickBot="1">
      <c r="A46" s="231">
        <v>523.66466200000002</v>
      </c>
      <c r="B46" s="231">
        <v>329.62992600000001</v>
      </c>
      <c r="C46" s="231">
        <v>484.09306800000002</v>
      </c>
      <c r="D46" s="231">
        <v>528.28</v>
      </c>
      <c r="E46" s="231">
        <v>529.60799999999995</v>
      </c>
      <c r="F46" s="231">
        <v>397.23074200000002</v>
      </c>
      <c r="G46" s="231">
        <v>462.32200812999992</v>
      </c>
      <c r="H46" s="231">
        <v>676.51745817522419</v>
      </c>
      <c r="I46" s="231">
        <v>676.84882166263878</v>
      </c>
      <c r="J46" s="21">
        <v>4797</v>
      </c>
      <c r="K46" s="236">
        <v>1.423E-2</v>
      </c>
      <c r="L46" s="235">
        <f t="shared" si="0"/>
        <v>1.423E-2</v>
      </c>
      <c r="N46" s="95">
        <v>240</v>
      </c>
      <c r="O46" s="169">
        <v>0.81200000000000006</v>
      </c>
      <c r="Q46" s="95">
        <v>299</v>
      </c>
      <c r="R46" s="98">
        <v>90.1</v>
      </c>
      <c r="T46" s="231">
        <v>521.86379699999998</v>
      </c>
      <c r="U46" s="21">
        <v>2400</v>
      </c>
      <c r="V46" s="17">
        <v>1.499E-2</v>
      </c>
      <c r="W46" s="234"/>
      <c r="X46" s="18">
        <v>677.4896447253567</v>
      </c>
      <c r="Y46" s="21">
        <v>4797</v>
      </c>
      <c r="Z46" s="236">
        <v>1.423E-2</v>
      </c>
    </row>
    <row r="47" spans="1:26" ht="17.25" thickBot="1">
      <c r="A47" s="231">
        <v>523.90212499999996</v>
      </c>
      <c r="B47" s="231">
        <v>329.72621700000002</v>
      </c>
      <c r="C47" s="231">
        <v>484.33692600000001</v>
      </c>
      <c r="D47" s="231">
        <v>528.48</v>
      </c>
      <c r="E47" s="231">
        <v>529.80799999999999</v>
      </c>
      <c r="F47" s="231">
        <v>397.32015730000006</v>
      </c>
      <c r="G47" s="231">
        <v>462.5180353799999</v>
      </c>
      <c r="H47" s="231">
        <v>676.73783343339915</v>
      </c>
      <c r="I47" s="231">
        <v>677.06756728553364</v>
      </c>
      <c r="J47" s="21">
        <v>4700</v>
      </c>
      <c r="K47" s="236">
        <v>1.3939999999999999E-2</v>
      </c>
      <c r="L47" s="235">
        <f t="shared" si="0"/>
        <v>1.3939999999999999E-2</v>
      </c>
      <c r="N47" s="95">
        <v>242</v>
      </c>
      <c r="O47" s="169">
        <v>0.80900000000000005</v>
      </c>
      <c r="Q47" s="95">
        <v>300</v>
      </c>
      <c r="R47" s="98">
        <v>89.8</v>
      </c>
      <c r="T47" s="231">
        <v>522.10627700000009</v>
      </c>
      <c r="U47" s="21">
        <v>2348</v>
      </c>
      <c r="V47" s="17">
        <v>1.4659999999999999E-2</v>
      </c>
      <c r="W47" s="234"/>
      <c r="X47" s="18">
        <v>677.65140999354753</v>
      </c>
      <c r="Y47" s="21">
        <v>4700</v>
      </c>
      <c r="Z47" s="236">
        <v>1.3939999999999999E-2</v>
      </c>
    </row>
    <row r="48" spans="1:26" ht="17.25" thickBot="1">
      <c r="A48" s="231">
        <v>524.09995400000003</v>
      </c>
      <c r="B48" s="231">
        <v>329.78390199999996</v>
      </c>
      <c r="C48" s="231">
        <v>484.42896500000001</v>
      </c>
      <c r="D48" s="231">
        <v>528.72</v>
      </c>
      <c r="E48" s="231">
        <v>530.05200000000002</v>
      </c>
      <c r="F48" s="231">
        <v>397.32045380000005</v>
      </c>
      <c r="G48" s="231">
        <v>462.73852145999996</v>
      </c>
      <c r="H48" s="231">
        <v>676.96091539828012</v>
      </c>
      <c r="I48" s="231">
        <v>677.31932331344444</v>
      </c>
      <c r="J48" s="21">
        <v>4598</v>
      </c>
      <c r="K48" s="236">
        <v>1.3639999999999999E-2</v>
      </c>
      <c r="L48" s="235">
        <f t="shared" si="0"/>
        <v>1.3639999999999999E-2</v>
      </c>
      <c r="N48" s="95">
        <v>243</v>
      </c>
      <c r="O48" s="169">
        <v>0.80200000000000005</v>
      </c>
      <c r="Q48" s="95">
        <v>301</v>
      </c>
      <c r="R48" s="98">
        <v>89.4</v>
      </c>
      <c r="T48" s="231">
        <v>522.26259599999992</v>
      </c>
      <c r="U48" s="21">
        <v>2299</v>
      </c>
      <c r="V48" s="17">
        <v>1.436E-2</v>
      </c>
      <c r="W48" s="234"/>
      <c r="X48" s="18">
        <v>677.91546497641127</v>
      </c>
      <c r="Y48" s="21">
        <v>4598</v>
      </c>
      <c r="Z48" s="236">
        <v>1.3639999999999999E-2</v>
      </c>
    </row>
    <row r="49" spans="1:26" ht="17.25" thickBot="1">
      <c r="A49" s="231">
        <v>524.28699499999993</v>
      </c>
      <c r="B49" s="231">
        <v>329.932861</v>
      </c>
      <c r="C49" s="231">
        <v>484.59132</v>
      </c>
      <c r="D49" s="231">
        <v>528.88</v>
      </c>
      <c r="E49" s="231">
        <v>530.22</v>
      </c>
      <c r="F49" s="231">
        <v>397.32086279999999</v>
      </c>
      <c r="G49" s="231">
        <v>462.93103279999991</v>
      </c>
      <c r="H49" s="231">
        <v>677.22482764986057</v>
      </c>
      <c r="I49" s="231">
        <v>677.49006422708021</v>
      </c>
      <c r="J49" s="21">
        <v>4497</v>
      </c>
      <c r="K49" s="236">
        <v>1.3339999999999999E-2</v>
      </c>
      <c r="L49" s="235">
        <f t="shared" si="0"/>
        <v>1.3339999999999999E-2</v>
      </c>
      <c r="N49" s="95">
        <v>244</v>
      </c>
      <c r="O49" s="169">
        <v>0.79500000000000004</v>
      </c>
      <c r="Q49" s="95">
        <v>302</v>
      </c>
      <c r="R49" s="98">
        <v>89.1</v>
      </c>
      <c r="T49" s="231">
        <v>522.537284</v>
      </c>
      <c r="U49" s="21">
        <v>2248</v>
      </c>
      <c r="V49" s="17">
        <v>1.404E-2</v>
      </c>
      <c r="W49" s="234"/>
      <c r="X49" s="18">
        <v>678.13798702429824</v>
      </c>
      <c r="Y49" s="21">
        <v>4497</v>
      </c>
      <c r="Z49" s="236">
        <v>1.3339999999999999E-2</v>
      </c>
    </row>
    <row r="50" spans="1:26" ht="17.25" thickBot="1">
      <c r="A50" s="231">
        <v>524.39848200000006</v>
      </c>
      <c r="B50" s="231">
        <v>330.025961</v>
      </c>
      <c r="C50" s="231">
        <v>484.73777899999999</v>
      </c>
      <c r="D50" s="231">
        <v>528.98</v>
      </c>
      <c r="E50" s="231">
        <v>530.38</v>
      </c>
      <c r="F50" s="231">
        <v>398.13027699999998</v>
      </c>
      <c r="G50" s="231">
        <v>463.02900835999992</v>
      </c>
      <c r="H50" s="231">
        <v>677.42182879842039</v>
      </c>
      <c r="I50" s="231">
        <v>677.82218129897126</v>
      </c>
      <c r="J50" s="21">
        <v>4397</v>
      </c>
      <c r="K50" s="236">
        <v>1.304E-2</v>
      </c>
      <c r="L50" s="235">
        <f t="shared" si="0"/>
        <v>1.304E-2</v>
      </c>
      <c r="N50" s="95">
        <v>245</v>
      </c>
      <c r="O50" s="169">
        <v>0.79200000000000004</v>
      </c>
      <c r="Q50" s="95">
        <v>303</v>
      </c>
      <c r="R50" s="98">
        <v>88.8</v>
      </c>
      <c r="T50" s="231">
        <v>522.65722300000004</v>
      </c>
      <c r="U50" s="21">
        <v>2199</v>
      </c>
      <c r="V50" s="17">
        <v>1.3729999999999999E-2</v>
      </c>
      <c r="W50" s="234"/>
      <c r="X50" s="18">
        <v>678.2782696818407</v>
      </c>
      <c r="Y50" s="21">
        <v>4397</v>
      </c>
      <c r="Z50" s="236">
        <v>1.304E-2</v>
      </c>
    </row>
    <row r="51" spans="1:26" ht="17.25" thickBot="1">
      <c r="A51" s="231">
        <v>524.60300100000006</v>
      </c>
      <c r="B51" s="231">
        <v>330.089091</v>
      </c>
      <c r="C51" s="231">
        <v>484.90302299999996</v>
      </c>
      <c r="D51" s="231">
        <v>529.20000000000005</v>
      </c>
      <c r="E51" s="231">
        <v>530.55200000000002</v>
      </c>
      <c r="F51" s="231">
        <v>398.22001069999999</v>
      </c>
      <c r="G51" s="231">
        <v>463.07457908999993</v>
      </c>
      <c r="H51" s="231">
        <v>677.59290011428675</v>
      </c>
      <c r="I51" s="231">
        <v>678.07334822729536</v>
      </c>
      <c r="J51" s="21">
        <v>4297</v>
      </c>
      <c r="K51" s="236">
        <v>1.2749999999999999E-2</v>
      </c>
      <c r="L51" s="235">
        <f t="shared" si="0"/>
        <v>1.2749999999999999E-2</v>
      </c>
      <c r="N51" s="95">
        <v>246</v>
      </c>
      <c r="O51" s="169">
        <v>0.78500000000000003</v>
      </c>
      <c r="Q51" s="95">
        <v>304</v>
      </c>
      <c r="R51" s="98">
        <v>88.5</v>
      </c>
      <c r="T51" s="231">
        <v>522.88852100000008</v>
      </c>
      <c r="U51" s="21">
        <v>2150</v>
      </c>
      <c r="V51" s="17">
        <v>1.342E-2</v>
      </c>
      <c r="W51" s="234"/>
      <c r="X51" s="18">
        <v>678.54880479682379</v>
      </c>
      <c r="Y51" s="21">
        <v>4297</v>
      </c>
      <c r="Z51" s="236">
        <v>1.2749999999999999E-2</v>
      </c>
    </row>
    <row r="52" spans="1:26" ht="17.25" thickBot="1">
      <c r="A52" s="231">
        <v>524.84017900000003</v>
      </c>
      <c r="B52" s="231">
        <v>330.21728200000001</v>
      </c>
      <c r="C52" s="231">
        <v>484.997953</v>
      </c>
      <c r="D52" s="231">
        <v>529.35200000000009</v>
      </c>
      <c r="E52" s="231">
        <v>530.68799999999999</v>
      </c>
      <c r="F52" s="231">
        <v>398.22036810000003</v>
      </c>
      <c r="G52" s="231">
        <v>463.14804067999989</v>
      </c>
      <c r="H52" s="231">
        <v>677.88066804245477</v>
      </c>
      <c r="I52" s="231">
        <v>678.25228997225383</v>
      </c>
      <c r="J52" s="21">
        <v>4198</v>
      </c>
      <c r="K52" s="236">
        <v>1.2449999999999999E-2</v>
      </c>
      <c r="L52" s="235">
        <f t="shared" si="0"/>
        <v>1.2449999999999999E-2</v>
      </c>
      <c r="N52" s="95">
        <v>247</v>
      </c>
      <c r="O52" s="169">
        <v>0.78099999999999992</v>
      </c>
      <c r="Q52" s="95">
        <v>305</v>
      </c>
      <c r="R52" s="98">
        <v>88.1</v>
      </c>
      <c r="T52" s="231">
        <v>523.05347900000004</v>
      </c>
      <c r="U52" s="21">
        <v>2099</v>
      </c>
      <c r="V52" s="17">
        <v>1.311E-2</v>
      </c>
      <c r="W52" s="234"/>
      <c r="X52" s="18">
        <v>678.77613689816053</v>
      </c>
      <c r="Y52" s="21">
        <v>4198</v>
      </c>
      <c r="Z52" s="236">
        <v>1.2449999999999999E-2</v>
      </c>
    </row>
    <row r="53" spans="1:26" ht="17.25" thickBot="1">
      <c r="A53" s="231">
        <v>525.14598599999999</v>
      </c>
      <c r="B53" s="231">
        <v>330.34650800000003</v>
      </c>
      <c r="C53" s="231">
        <v>485.19846699999999</v>
      </c>
      <c r="D53" s="231">
        <v>529.524</v>
      </c>
      <c r="E53" s="231">
        <v>530.98</v>
      </c>
      <c r="F53" s="231">
        <v>398.22076200000004</v>
      </c>
      <c r="G53" s="231">
        <v>463.44901786999998</v>
      </c>
      <c r="H53" s="231">
        <v>678.09491596681494</v>
      </c>
      <c r="I53" s="231">
        <v>678.53100143483834</v>
      </c>
      <c r="J53" s="21">
        <v>4100</v>
      </c>
      <c r="K53" s="236">
        <v>1.2160000000000001E-2</v>
      </c>
      <c r="L53" s="235">
        <f t="shared" si="0"/>
        <v>1.2160000000000001E-2</v>
      </c>
      <c r="N53" s="96">
        <v>248</v>
      </c>
      <c r="O53" s="169">
        <v>0.77800000000000002</v>
      </c>
      <c r="Q53" s="95">
        <v>306</v>
      </c>
      <c r="R53" s="98">
        <v>87.8</v>
      </c>
      <c r="T53" s="231">
        <v>523.31259799999998</v>
      </c>
      <c r="U53" s="21">
        <v>2049</v>
      </c>
      <c r="V53" s="17">
        <v>1.2789999999999999E-2</v>
      </c>
      <c r="W53" s="234"/>
      <c r="X53" s="18">
        <v>679.06300335771959</v>
      </c>
      <c r="Y53" s="21">
        <v>4100</v>
      </c>
      <c r="Z53" s="236">
        <v>1.2160000000000001E-2</v>
      </c>
    </row>
    <row r="54" spans="1:26" ht="17.25" thickBot="1">
      <c r="A54" s="231">
        <v>525.36184900000001</v>
      </c>
      <c r="B54" s="231">
        <v>330.44402600000001</v>
      </c>
      <c r="C54" s="231">
        <v>485.38782299999997</v>
      </c>
      <c r="D54" s="231">
        <v>529.77200000000005</v>
      </c>
      <c r="E54" s="231">
        <v>531.10400000000004</v>
      </c>
      <c r="F54" s="231">
        <v>398.31017869999994</v>
      </c>
      <c r="G54" s="231">
        <v>463.75356061999992</v>
      </c>
      <c r="H54" s="231">
        <v>678.37726842345137</v>
      </c>
      <c r="I54" s="231">
        <v>678.78453557898354</v>
      </c>
      <c r="J54" s="21">
        <v>3997</v>
      </c>
      <c r="K54" s="236">
        <v>1.1860000000000001E-2</v>
      </c>
      <c r="L54" s="235">
        <f t="shared" si="0"/>
        <v>1.1860000000000001E-2</v>
      </c>
      <c r="N54" s="95">
        <v>249</v>
      </c>
      <c r="O54" s="169">
        <v>0.77099999999999991</v>
      </c>
      <c r="Q54" s="95">
        <v>307</v>
      </c>
      <c r="R54" s="98">
        <v>87.5</v>
      </c>
      <c r="T54" s="231">
        <v>523.60196400000007</v>
      </c>
      <c r="U54" s="21">
        <v>1998</v>
      </c>
      <c r="V54" s="17">
        <v>1.248E-2</v>
      </c>
      <c r="W54" s="234"/>
      <c r="X54" s="18">
        <v>679.35136344899161</v>
      </c>
      <c r="Y54" s="21">
        <v>3997</v>
      </c>
      <c r="Z54" s="236">
        <v>1.1860000000000001E-2</v>
      </c>
    </row>
    <row r="55" spans="1:26" ht="17.25" thickBot="1">
      <c r="A55" s="231">
        <v>525.54483700000003</v>
      </c>
      <c r="B55" s="231">
        <v>330.54302300000001</v>
      </c>
      <c r="C55" s="231">
        <v>485.43724300000002</v>
      </c>
      <c r="D55" s="231">
        <v>529.94399999999996</v>
      </c>
      <c r="E55" s="231">
        <v>531.27200000000005</v>
      </c>
      <c r="F55" s="231">
        <v>398.31058489999998</v>
      </c>
      <c r="G55" s="231">
        <v>463.87257619999997</v>
      </c>
      <c r="H55" s="231">
        <v>678.4939639326011</v>
      </c>
      <c r="I55" s="231">
        <v>679.02580471550868</v>
      </c>
      <c r="J55" s="21">
        <v>3900</v>
      </c>
      <c r="K55" s="236">
        <v>1.157E-2</v>
      </c>
      <c r="L55" s="235">
        <f t="shared" si="0"/>
        <v>1.157E-2</v>
      </c>
      <c r="N55" s="95">
        <v>251</v>
      </c>
      <c r="O55" s="169">
        <v>0.76700000000000002</v>
      </c>
      <c r="Q55" s="95">
        <v>308</v>
      </c>
      <c r="R55" s="98">
        <v>87.1</v>
      </c>
      <c r="T55" s="231">
        <v>523.79646600000001</v>
      </c>
      <c r="U55" s="21">
        <v>1948</v>
      </c>
      <c r="V55" s="17">
        <v>1.2160000000000001E-2</v>
      </c>
      <c r="W55" s="234"/>
      <c r="X55" s="18">
        <v>679.68525309494862</v>
      </c>
      <c r="Y55" s="21">
        <v>3900</v>
      </c>
      <c r="Z55" s="236">
        <v>1.157E-2</v>
      </c>
    </row>
    <row r="56" spans="1:26" ht="17.25" thickBot="1">
      <c r="A56" s="231">
        <v>525.8034879999999</v>
      </c>
      <c r="B56" s="231">
        <v>330.66259299999996</v>
      </c>
      <c r="C56" s="231">
        <v>485.59950800000001</v>
      </c>
      <c r="D56" s="231">
        <v>530.1</v>
      </c>
      <c r="E56" s="231">
        <v>531.41999999999996</v>
      </c>
      <c r="F56" s="231">
        <v>399.1200316</v>
      </c>
      <c r="G56" s="231">
        <v>463.98106775999992</v>
      </c>
      <c r="H56" s="231">
        <v>678.70389953734309</v>
      </c>
      <c r="I56" s="231">
        <v>679.28879069817606</v>
      </c>
      <c r="J56" s="21">
        <v>3799</v>
      </c>
      <c r="K56" s="236">
        <v>1.1270000000000001E-2</v>
      </c>
      <c r="L56" s="235">
        <f t="shared" si="0"/>
        <v>1.1270000000000001E-2</v>
      </c>
      <c r="N56" s="95">
        <v>252</v>
      </c>
      <c r="O56" s="169">
        <v>0.76</v>
      </c>
      <c r="Q56" s="95">
        <v>309</v>
      </c>
      <c r="R56" s="98">
        <v>86.8</v>
      </c>
      <c r="T56" s="231">
        <v>524.07255799999996</v>
      </c>
      <c r="U56" s="21">
        <v>1899</v>
      </c>
      <c r="V56" s="17">
        <v>1.1849999999999999E-2</v>
      </c>
      <c r="W56" s="234"/>
      <c r="X56" s="18">
        <v>679.92106104717129</v>
      </c>
      <c r="Y56" s="21">
        <v>3799</v>
      </c>
      <c r="Z56" s="236">
        <v>1.1270000000000001E-2</v>
      </c>
    </row>
    <row r="57" spans="1:26" ht="17.25" thickBot="1">
      <c r="A57" s="231">
        <v>526.07361400000002</v>
      </c>
      <c r="B57" s="231">
        <v>330.75740500000001</v>
      </c>
      <c r="C57" s="231">
        <v>485.78003000000001</v>
      </c>
      <c r="D57" s="231">
        <v>530.26</v>
      </c>
      <c r="E57" s="231">
        <v>531.62800000000004</v>
      </c>
      <c r="F57" s="231">
        <v>399.12087250000002</v>
      </c>
      <c r="G57" s="231">
        <v>464.07904629999996</v>
      </c>
      <c r="H57" s="231">
        <v>678.89605640008813</v>
      </c>
      <c r="I57" s="231">
        <v>679.58685340464717</v>
      </c>
      <c r="J57" s="21">
        <v>3699</v>
      </c>
      <c r="K57" s="236">
        <v>1.0970000000000001E-2</v>
      </c>
      <c r="L57" s="235">
        <f t="shared" si="0"/>
        <v>1.0970000000000001E-2</v>
      </c>
      <c r="N57" s="95">
        <v>253</v>
      </c>
      <c r="O57" s="169">
        <v>0.753</v>
      </c>
      <c r="Q57" s="95">
        <v>310</v>
      </c>
      <c r="R57" s="98">
        <v>86.5</v>
      </c>
      <c r="T57" s="231">
        <v>524.23443899999995</v>
      </c>
      <c r="U57" s="21">
        <v>1849</v>
      </c>
      <c r="V57" s="17">
        <v>1.154E-2</v>
      </c>
      <c r="W57" s="234"/>
      <c r="X57" s="18">
        <v>680.03280129986933</v>
      </c>
      <c r="Y57" s="21">
        <v>3699</v>
      </c>
      <c r="Z57" s="236">
        <v>1.0970000000000001E-2</v>
      </c>
    </row>
    <row r="58" spans="1:26" ht="17.25" thickBot="1">
      <c r="A58" s="231">
        <v>526.362799</v>
      </c>
      <c r="B58" s="231">
        <v>330.87697800000001</v>
      </c>
      <c r="C58" s="231">
        <v>486.00126700000004</v>
      </c>
      <c r="D58" s="231">
        <v>530.46400000000006</v>
      </c>
      <c r="E58" s="231">
        <v>531.81999999999994</v>
      </c>
      <c r="F58" s="231">
        <v>399.21024710000006</v>
      </c>
      <c r="G58" s="231">
        <v>464.19804665999993</v>
      </c>
      <c r="H58" s="231">
        <v>679.1465882422093</v>
      </c>
      <c r="I58" s="231">
        <v>679.94340771176337</v>
      </c>
      <c r="J58" s="21">
        <v>3599</v>
      </c>
      <c r="K58" s="236">
        <v>1.0670000000000001E-2</v>
      </c>
      <c r="L58" s="235">
        <f t="shared" si="0"/>
        <v>1.0670000000000001E-2</v>
      </c>
      <c r="N58" s="95">
        <v>254</v>
      </c>
      <c r="O58" s="169">
        <v>0.75</v>
      </c>
      <c r="Q58" s="95">
        <v>311</v>
      </c>
      <c r="R58" s="98">
        <v>86.2</v>
      </c>
      <c r="T58" s="232">
        <v>524.43294500000002</v>
      </c>
      <c r="U58" s="22">
        <v>1800</v>
      </c>
      <c r="V58" s="19">
        <v>1.124E-2</v>
      </c>
      <c r="W58" s="234"/>
      <c r="X58" s="18">
        <v>680.31050771590026</v>
      </c>
      <c r="Y58" s="21">
        <v>3599</v>
      </c>
      <c r="Z58" s="236">
        <v>1.0670000000000001E-2</v>
      </c>
    </row>
    <row r="59" spans="1:26" ht="17.25" thickBot="1">
      <c r="A59" s="231">
        <v>526.596768</v>
      </c>
      <c r="B59" s="231">
        <v>331.05742200000003</v>
      </c>
      <c r="C59" s="231">
        <v>486.138442</v>
      </c>
      <c r="D59" s="231">
        <v>530.62</v>
      </c>
      <c r="E59" s="231">
        <v>532.00400000000002</v>
      </c>
      <c r="F59" s="231">
        <v>399.21058589999996</v>
      </c>
      <c r="G59" s="231">
        <v>464.38001135999991</v>
      </c>
      <c r="H59" s="231">
        <v>679.36271254564917</v>
      </c>
      <c r="I59" s="231">
        <v>680.16237090255936</v>
      </c>
      <c r="J59" s="21">
        <v>3500</v>
      </c>
      <c r="K59" s="236">
        <v>1.038E-2</v>
      </c>
      <c r="L59" s="235">
        <f t="shared" si="0"/>
        <v>1.038E-2</v>
      </c>
      <c r="N59" s="95">
        <v>255</v>
      </c>
      <c r="O59" s="169">
        <v>0.74199999999999999</v>
      </c>
      <c r="Q59" s="95">
        <v>312</v>
      </c>
      <c r="R59" s="98">
        <v>85.8</v>
      </c>
      <c r="T59" s="231">
        <v>524.70078599999999</v>
      </c>
      <c r="U59" s="21">
        <v>1749</v>
      </c>
      <c r="V59" s="17">
        <v>1.0919999999999999E-2</v>
      </c>
      <c r="W59" s="234"/>
      <c r="X59" s="18">
        <v>680.53321570071057</v>
      </c>
      <c r="Y59" s="21">
        <v>3500</v>
      </c>
      <c r="Z59" s="236">
        <v>1.038E-2</v>
      </c>
    </row>
    <row r="60" spans="1:26" ht="17.25" thickBot="1">
      <c r="A60" s="232">
        <v>526.79513600000007</v>
      </c>
      <c r="B60" s="232">
        <v>331.14876399999997</v>
      </c>
      <c r="C60" s="232">
        <v>486.43740200000002</v>
      </c>
      <c r="D60" s="232">
        <v>530.81200000000001</v>
      </c>
      <c r="E60" s="232">
        <v>532.21199999999999</v>
      </c>
      <c r="F60" s="232">
        <v>399.21090069999997</v>
      </c>
      <c r="G60" s="232">
        <v>464.7125077799999</v>
      </c>
      <c r="H60" s="232">
        <v>679.62488483029347</v>
      </c>
      <c r="I60" s="232">
        <v>680.44818695983417</v>
      </c>
      <c r="J60" s="22">
        <v>3397</v>
      </c>
      <c r="K60" s="237">
        <v>1.0070000000000001E-2</v>
      </c>
      <c r="L60" s="235">
        <f t="shared" si="0"/>
        <v>1.0070000000000001E-2</v>
      </c>
      <c r="N60" s="95">
        <v>256</v>
      </c>
      <c r="O60" s="169">
        <v>0.7390000000000001</v>
      </c>
      <c r="Q60" s="95">
        <v>313</v>
      </c>
      <c r="R60" s="98">
        <v>85.5</v>
      </c>
      <c r="T60" s="231">
        <v>524.908908</v>
      </c>
      <c r="U60" s="21">
        <v>1700</v>
      </c>
      <c r="V60" s="17">
        <v>1.061E-2</v>
      </c>
      <c r="W60" s="234"/>
      <c r="X60" s="20">
        <v>680.83720610799469</v>
      </c>
      <c r="Y60" s="22">
        <v>3397</v>
      </c>
      <c r="Z60" s="237">
        <v>1.0070000000000001E-2</v>
      </c>
    </row>
    <row r="61" spans="1:26" ht="17.25" thickBot="1">
      <c r="A61" s="231">
        <v>527.08890900000006</v>
      </c>
      <c r="B61" s="231">
        <v>331.23484999999999</v>
      </c>
      <c r="C61" s="231">
        <v>486.58392500000002</v>
      </c>
      <c r="D61" s="231">
        <v>531</v>
      </c>
      <c r="E61" s="231">
        <v>532.38</v>
      </c>
      <c r="F61" s="231">
        <v>399.30031169999995</v>
      </c>
      <c r="G61" s="231">
        <v>464.91557101999996</v>
      </c>
      <c r="H61" s="231">
        <v>679.88644965692731</v>
      </c>
      <c r="I61" s="231">
        <v>680.75710242543232</v>
      </c>
      <c r="J61" s="21">
        <v>3299</v>
      </c>
      <c r="K61" s="236">
        <v>9.7800000000000005E-3</v>
      </c>
      <c r="L61" s="235">
        <f t="shared" si="0"/>
        <v>9.7800000000000005E-3</v>
      </c>
      <c r="N61" s="95">
        <v>257</v>
      </c>
      <c r="O61" s="169">
        <v>0.73499999999999999</v>
      </c>
      <c r="Q61" s="95">
        <v>314</v>
      </c>
      <c r="R61" s="98">
        <v>85.2</v>
      </c>
      <c r="T61" s="231">
        <v>525.12028699999996</v>
      </c>
      <c r="U61" s="21">
        <v>1649</v>
      </c>
      <c r="V61" s="17">
        <v>1.03E-2</v>
      </c>
      <c r="W61" s="234"/>
      <c r="X61" s="18">
        <v>681.20510685999125</v>
      </c>
      <c r="Y61" s="21">
        <v>3299</v>
      </c>
      <c r="Z61" s="236">
        <v>9.7800000000000005E-3</v>
      </c>
    </row>
    <row r="62" spans="1:26" ht="17.25" thickBot="1">
      <c r="A62" s="231">
        <v>527.27997700000003</v>
      </c>
      <c r="B62" s="231">
        <v>331.45922300000001</v>
      </c>
      <c r="C62" s="231">
        <v>486.82328900000005</v>
      </c>
      <c r="D62" s="231">
        <v>531.28000000000009</v>
      </c>
      <c r="E62" s="231">
        <v>532.67200000000003</v>
      </c>
      <c r="F62" s="231">
        <v>399.30079540000003</v>
      </c>
      <c r="G62" s="231">
        <v>465.12200696999997</v>
      </c>
      <c r="H62" s="231">
        <v>680.22932203188304</v>
      </c>
      <c r="I62" s="231">
        <v>680.96646872146232</v>
      </c>
      <c r="J62" s="21">
        <v>3197</v>
      </c>
      <c r="K62" s="236">
        <v>9.4800000000000006E-3</v>
      </c>
      <c r="L62" s="235">
        <f t="shared" si="0"/>
        <v>9.4800000000000006E-3</v>
      </c>
      <c r="N62" s="95">
        <v>259</v>
      </c>
      <c r="O62" s="169">
        <v>0.73199999999999998</v>
      </c>
      <c r="Q62" s="95">
        <v>315</v>
      </c>
      <c r="R62" s="98">
        <v>84.9</v>
      </c>
      <c r="T62" s="231">
        <v>525.42127200000004</v>
      </c>
      <c r="U62" s="21">
        <v>1599</v>
      </c>
      <c r="V62" s="17">
        <v>9.9799999999999993E-3</v>
      </c>
      <c r="W62" s="234"/>
      <c r="X62" s="18">
        <v>681.46497049423022</v>
      </c>
      <c r="Y62" s="21">
        <v>3197</v>
      </c>
      <c r="Z62" s="236">
        <v>9.4800000000000006E-3</v>
      </c>
    </row>
    <row r="63" spans="1:26" ht="17.25" thickBot="1">
      <c r="A63" s="231">
        <v>527.46926600000006</v>
      </c>
      <c r="B63" s="231">
        <v>331.61497699999995</v>
      </c>
      <c r="C63" s="231">
        <v>487.08298300000001</v>
      </c>
      <c r="D63" s="231">
        <v>531.58000000000004</v>
      </c>
      <c r="E63" s="231">
        <v>532.97199999999998</v>
      </c>
      <c r="F63" s="231">
        <v>400.20011360000001</v>
      </c>
      <c r="G63" s="231">
        <v>465.17457387999997</v>
      </c>
      <c r="H63" s="231">
        <v>680.52676801057498</v>
      </c>
      <c r="I63" s="231">
        <v>681.30108861453493</v>
      </c>
      <c r="J63" s="21">
        <v>3096</v>
      </c>
      <c r="K63" s="236">
        <v>9.1800000000000007E-3</v>
      </c>
      <c r="L63" s="235">
        <f t="shared" si="0"/>
        <v>9.1800000000000007E-3</v>
      </c>
      <c r="N63" s="95">
        <v>260</v>
      </c>
      <c r="O63" s="169">
        <v>0.72900000000000009</v>
      </c>
      <c r="Q63" s="95">
        <v>316</v>
      </c>
      <c r="R63" s="98">
        <v>84.5</v>
      </c>
      <c r="T63" s="231">
        <v>525.62316499999997</v>
      </c>
      <c r="U63" s="21">
        <v>1549</v>
      </c>
      <c r="V63" s="17">
        <v>9.6699999999999998E-3</v>
      </c>
      <c r="W63" s="234"/>
      <c r="X63" s="18">
        <v>681.76844815479387</v>
      </c>
      <c r="Y63" s="21">
        <v>3096</v>
      </c>
      <c r="Z63" s="236">
        <v>9.1800000000000007E-3</v>
      </c>
    </row>
    <row r="64" spans="1:26" ht="17.25" thickBot="1">
      <c r="A64" s="231">
        <v>527.74121000000002</v>
      </c>
      <c r="B64" s="231">
        <v>331.773799</v>
      </c>
      <c r="C64" s="231">
        <v>487.29678000000001</v>
      </c>
      <c r="D64" s="231">
        <v>531.88</v>
      </c>
      <c r="E64" s="231">
        <v>533.15200000000004</v>
      </c>
      <c r="F64" s="231">
        <v>400.20046660000003</v>
      </c>
      <c r="G64" s="231">
        <v>465.27608186999993</v>
      </c>
      <c r="H64" s="231">
        <v>681.07106922364108</v>
      </c>
      <c r="I64" s="231">
        <v>681.46510886327644</v>
      </c>
      <c r="J64" s="21">
        <v>2996</v>
      </c>
      <c r="K64" s="236">
        <v>8.8900000000000003E-3</v>
      </c>
      <c r="L64" s="235">
        <f t="shared" si="0"/>
        <v>8.8900000000000003E-3</v>
      </c>
      <c r="N64" s="95">
        <v>261</v>
      </c>
      <c r="O64" s="169">
        <v>0.72499999999999998</v>
      </c>
      <c r="Q64" s="95">
        <v>317</v>
      </c>
      <c r="R64" s="98">
        <v>84.2</v>
      </c>
      <c r="T64" s="231">
        <v>525.86854100000005</v>
      </c>
      <c r="U64" s="21">
        <v>1499</v>
      </c>
      <c r="V64" s="17">
        <v>9.3600000000000003E-3</v>
      </c>
      <c r="W64" s="234"/>
      <c r="X64" s="18">
        <v>682.11308566648734</v>
      </c>
      <c r="Y64" s="21">
        <v>2996</v>
      </c>
      <c r="Z64" s="236">
        <v>8.8900000000000003E-3</v>
      </c>
    </row>
    <row r="65" spans="1:26" ht="17.25" thickBot="1">
      <c r="A65" s="231">
        <v>528.043094</v>
      </c>
      <c r="B65" s="231">
        <v>331.91843799999998</v>
      </c>
      <c r="C65" s="231">
        <v>487.501687</v>
      </c>
      <c r="D65" s="231">
        <v>532.03199999999993</v>
      </c>
      <c r="E65" s="231">
        <v>533.38000000000011</v>
      </c>
      <c r="F65" s="231">
        <v>400.29014800000004</v>
      </c>
      <c r="G65" s="231">
        <v>465.64006969999997</v>
      </c>
      <c r="H65" s="231">
        <v>681.3651013423206</v>
      </c>
      <c r="I65" s="231">
        <v>681.73053269641719</v>
      </c>
      <c r="J65" s="21">
        <v>2897</v>
      </c>
      <c r="K65" s="236">
        <v>8.5900000000000004E-3</v>
      </c>
      <c r="L65" s="235">
        <f t="shared" si="0"/>
        <v>8.5900000000000004E-3</v>
      </c>
      <c r="N65" s="95">
        <v>262</v>
      </c>
      <c r="O65" s="169">
        <v>0.72199999999999998</v>
      </c>
      <c r="Q65" s="95">
        <v>318</v>
      </c>
      <c r="R65" s="98">
        <v>83.9</v>
      </c>
      <c r="T65" s="231">
        <v>526.05364999999995</v>
      </c>
      <c r="U65" s="21">
        <v>1450</v>
      </c>
      <c r="V65" s="17">
        <v>9.0500000000000008E-3</v>
      </c>
      <c r="W65" s="234"/>
      <c r="X65" s="18">
        <v>682.3937274301162</v>
      </c>
      <c r="Y65" s="21">
        <v>2897</v>
      </c>
      <c r="Z65" s="236">
        <v>8.5900000000000004E-3</v>
      </c>
    </row>
    <row r="66" spans="1:26" ht="17.25" thickBot="1">
      <c r="A66" s="231">
        <v>528.24064999999996</v>
      </c>
      <c r="B66" s="231">
        <v>332.08601200000004</v>
      </c>
      <c r="C66" s="231">
        <v>487.73683699999998</v>
      </c>
      <c r="D66" s="231">
        <v>532.32000000000005</v>
      </c>
      <c r="E66" s="231">
        <v>533.52</v>
      </c>
      <c r="F66" s="231">
        <v>400.2904542</v>
      </c>
      <c r="G66" s="231">
        <v>465.96554129999998</v>
      </c>
      <c r="H66" s="231">
        <v>681.65833514124415</v>
      </c>
      <c r="I66" s="231">
        <v>682.09113955557348</v>
      </c>
      <c r="J66" s="21">
        <v>2798</v>
      </c>
      <c r="K66" s="236">
        <v>8.3000000000000001E-3</v>
      </c>
      <c r="L66" s="235">
        <f t="shared" si="0"/>
        <v>8.3000000000000001E-3</v>
      </c>
      <c r="N66" s="95">
        <v>263</v>
      </c>
      <c r="O66" s="169">
        <v>0.71799999999999997</v>
      </c>
      <c r="Q66" s="95">
        <v>319</v>
      </c>
      <c r="R66" s="98">
        <v>83.5</v>
      </c>
      <c r="T66" s="231">
        <v>526.28814799999998</v>
      </c>
      <c r="U66" s="21">
        <v>1398</v>
      </c>
      <c r="V66" s="17">
        <v>8.7299999999999999E-3</v>
      </c>
      <c r="W66" s="234"/>
      <c r="X66" s="18">
        <v>682.63107002170159</v>
      </c>
      <c r="Y66" s="21">
        <v>2798</v>
      </c>
      <c r="Z66" s="236">
        <v>8.3000000000000001E-3</v>
      </c>
    </row>
    <row r="67" spans="1:26" ht="17.25" thickBot="1">
      <c r="A67" s="231">
        <v>528.49774500000001</v>
      </c>
      <c r="B67" s="231">
        <v>332.17565400000001</v>
      </c>
      <c r="C67" s="231">
        <v>487.94232300000004</v>
      </c>
      <c r="D67" s="231">
        <v>532.48</v>
      </c>
      <c r="E67" s="231">
        <v>533.72</v>
      </c>
      <c r="F67" s="231">
        <v>400.29080420000003</v>
      </c>
      <c r="G67" s="231">
        <v>466.11603949999994</v>
      </c>
      <c r="H67" s="231">
        <v>681.89429019742386</v>
      </c>
      <c r="I67" s="231">
        <v>682.39158404935017</v>
      </c>
      <c r="J67" s="21">
        <v>2696</v>
      </c>
      <c r="K67" s="236">
        <v>8.0000000000000002E-3</v>
      </c>
      <c r="L67" s="235">
        <f t="shared" ref="L67:L102" si="1">ROUND(K67,5)</f>
        <v>8.0000000000000002E-3</v>
      </c>
      <c r="N67" s="95">
        <v>264</v>
      </c>
      <c r="O67" s="169">
        <v>0.71499999999999997</v>
      </c>
      <c r="Q67" s="95">
        <v>320</v>
      </c>
      <c r="R67" s="98">
        <v>83.2</v>
      </c>
      <c r="T67" s="232">
        <v>526.54481499999997</v>
      </c>
      <c r="U67" s="22">
        <v>1350</v>
      </c>
      <c r="V67" s="19">
        <v>8.43E-3</v>
      </c>
      <c r="W67" s="234"/>
      <c r="X67" s="18">
        <v>682.92293405236126</v>
      </c>
      <c r="Y67" s="21">
        <v>2696</v>
      </c>
      <c r="Z67" s="236">
        <v>8.0000000000000002E-3</v>
      </c>
    </row>
    <row r="68" spans="1:26" ht="17.25" thickBot="1">
      <c r="A68" s="231">
        <v>528.76513299999999</v>
      </c>
      <c r="B68" s="231">
        <v>332.26563299999998</v>
      </c>
      <c r="C68" s="231">
        <v>488.14218799999998</v>
      </c>
      <c r="D68" s="231">
        <v>532.69999999999993</v>
      </c>
      <c r="E68" s="231">
        <v>533.98</v>
      </c>
      <c r="F68" s="231">
        <v>401.10046390000002</v>
      </c>
      <c r="G68" s="231">
        <v>466.17907903999998</v>
      </c>
      <c r="H68" s="231">
        <v>682.19254501697742</v>
      </c>
      <c r="I68" s="231">
        <v>682.67332165521191</v>
      </c>
      <c r="J68" s="21">
        <v>2599</v>
      </c>
      <c r="K68" s="236">
        <v>7.7099999999999998E-3</v>
      </c>
      <c r="L68" s="235">
        <f t="shared" si="1"/>
        <v>7.7099999999999998E-3</v>
      </c>
      <c r="N68" s="95">
        <v>265</v>
      </c>
      <c r="O68" s="169">
        <v>0.70700000000000007</v>
      </c>
      <c r="Q68" s="95">
        <v>321</v>
      </c>
      <c r="R68" s="98">
        <v>82.9</v>
      </c>
      <c r="T68" s="231">
        <v>526.89801299999999</v>
      </c>
      <c r="U68" s="21">
        <v>1299</v>
      </c>
      <c r="V68" s="17">
        <v>8.1099999999999992E-3</v>
      </c>
      <c r="W68" s="234"/>
      <c r="X68" s="18">
        <v>683.16855336958599</v>
      </c>
      <c r="Y68" s="21">
        <v>2599</v>
      </c>
      <c r="Z68" s="236">
        <v>7.7099999999999998E-3</v>
      </c>
    </row>
    <row r="69" spans="1:26" ht="17.25" thickBot="1">
      <c r="A69" s="232">
        <v>529.06971799999997</v>
      </c>
      <c r="B69" s="232">
        <v>332.40855399999998</v>
      </c>
      <c r="C69" s="232">
        <v>488.28855399999998</v>
      </c>
      <c r="D69" s="232">
        <v>532.97200000000009</v>
      </c>
      <c r="E69" s="232">
        <v>534.23199999999997</v>
      </c>
      <c r="F69" s="232">
        <v>401.19038929999994</v>
      </c>
      <c r="G69" s="232">
        <v>466.37853881999996</v>
      </c>
      <c r="H69" s="232">
        <v>682.43837950653278</v>
      </c>
      <c r="I69" s="232">
        <v>682.93659584043291</v>
      </c>
      <c r="J69" s="22">
        <v>2499</v>
      </c>
      <c r="K69" s="237">
        <v>7.4099999999999999E-3</v>
      </c>
      <c r="L69" s="235">
        <f t="shared" si="1"/>
        <v>7.4099999999999999E-3</v>
      </c>
      <c r="N69" s="95">
        <v>266</v>
      </c>
      <c r="O69" s="169">
        <v>0.7</v>
      </c>
      <c r="Q69" s="95">
        <v>322</v>
      </c>
      <c r="R69" s="98">
        <v>82.6</v>
      </c>
      <c r="T69" s="231">
        <v>527.08094300000005</v>
      </c>
      <c r="U69" s="21">
        <v>1248</v>
      </c>
      <c r="V69" s="17">
        <v>7.79E-3</v>
      </c>
      <c r="W69" s="234"/>
      <c r="X69" s="20">
        <v>683.52166220050879</v>
      </c>
      <c r="Y69" s="22">
        <v>2499</v>
      </c>
      <c r="Z69" s="237">
        <v>7.4099999999999999E-3</v>
      </c>
    </row>
    <row r="70" spans="1:26" ht="17.25" thickBot="1">
      <c r="A70" s="231">
        <v>529.36283500000002</v>
      </c>
      <c r="B70" s="231">
        <v>332.58869299999998</v>
      </c>
      <c r="C70" s="231">
        <v>488.53807899999998</v>
      </c>
      <c r="D70" s="231">
        <v>533.33199999999999</v>
      </c>
      <c r="E70" s="231">
        <v>534.53200000000004</v>
      </c>
      <c r="F70" s="231">
        <v>401.19088739999995</v>
      </c>
      <c r="G70" s="231">
        <v>466.64100248999995</v>
      </c>
      <c r="H70" s="231">
        <v>682.70012798326297</v>
      </c>
      <c r="I70" s="231">
        <v>683.29699079563193</v>
      </c>
      <c r="J70" s="21">
        <v>2399</v>
      </c>
      <c r="K70" s="236">
        <v>7.11E-3</v>
      </c>
      <c r="L70" s="235">
        <f t="shared" si="1"/>
        <v>7.11E-3</v>
      </c>
      <c r="N70" s="95">
        <v>267</v>
      </c>
      <c r="O70" s="169">
        <v>0.69700000000000006</v>
      </c>
      <c r="Q70" s="95">
        <v>323</v>
      </c>
      <c r="R70" s="98">
        <v>82.2</v>
      </c>
      <c r="T70" s="231">
        <v>527.29224999999997</v>
      </c>
      <c r="U70" s="21">
        <v>1198</v>
      </c>
      <c r="V70" s="17">
        <v>7.4799999999999997E-3</v>
      </c>
      <c r="W70" s="234"/>
      <c r="X70" s="18">
        <v>683.84675551929377</v>
      </c>
      <c r="Y70" s="21">
        <v>2399</v>
      </c>
      <c r="Z70" s="236">
        <v>7.11E-3</v>
      </c>
    </row>
    <row r="71" spans="1:26" ht="17.25" thickBot="1">
      <c r="A71" s="231">
        <v>529.64279599999998</v>
      </c>
      <c r="B71" s="231">
        <v>332.802437</v>
      </c>
      <c r="C71" s="231">
        <v>488.73997600000001</v>
      </c>
      <c r="D71" s="231">
        <v>533.62000000000012</v>
      </c>
      <c r="E71" s="231">
        <v>534.82000000000005</v>
      </c>
      <c r="F71" s="231">
        <v>401.28022560000005</v>
      </c>
      <c r="G71" s="231">
        <v>467.02255534</v>
      </c>
      <c r="H71" s="231">
        <v>682.97965880781476</v>
      </c>
      <c r="I71" s="231">
        <v>683.63825693200727</v>
      </c>
      <c r="J71" s="21">
        <v>2300</v>
      </c>
      <c r="K71" s="236">
        <v>6.8199999999999997E-3</v>
      </c>
      <c r="L71" s="235">
        <f t="shared" si="1"/>
        <v>6.8199999999999997E-3</v>
      </c>
      <c r="N71" s="95">
        <v>268</v>
      </c>
      <c r="O71" s="169">
        <v>0.69</v>
      </c>
      <c r="Q71" s="95">
        <v>324</v>
      </c>
      <c r="R71" s="98">
        <v>81.900000000000006</v>
      </c>
      <c r="T71" s="231">
        <v>527.62839700000006</v>
      </c>
      <c r="U71" s="21">
        <v>1149</v>
      </c>
      <c r="V71" s="17">
        <v>7.1700000000000002E-3</v>
      </c>
      <c r="W71" s="234"/>
      <c r="X71" s="18">
        <v>684.31817423612506</v>
      </c>
      <c r="Y71" s="21">
        <v>2300</v>
      </c>
      <c r="Z71" s="236">
        <v>6.8199999999999997E-3</v>
      </c>
    </row>
    <row r="72" spans="1:26" ht="17.25" thickBot="1">
      <c r="A72" s="231">
        <v>529.83241399999997</v>
      </c>
      <c r="B72" s="231">
        <v>332.901163</v>
      </c>
      <c r="C72" s="231">
        <v>489.022717</v>
      </c>
      <c r="D72" s="231">
        <v>533.78000000000009</v>
      </c>
      <c r="E72" s="231">
        <v>535.04</v>
      </c>
      <c r="F72" s="231">
        <v>401.28072050000003</v>
      </c>
      <c r="G72" s="231">
        <v>467.22900267</v>
      </c>
      <c r="H72" s="231">
        <v>683.32390024368942</v>
      </c>
      <c r="I72" s="231">
        <v>684.07102886098255</v>
      </c>
      <c r="J72" s="21">
        <v>2197</v>
      </c>
      <c r="K72" s="236">
        <v>6.5199999999999998E-3</v>
      </c>
      <c r="L72" s="235">
        <f t="shared" si="1"/>
        <v>6.5199999999999998E-3</v>
      </c>
      <c r="N72" s="95">
        <v>269</v>
      </c>
      <c r="O72" s="169">
        <v>0.68599999999999994</v>
      </c>
      <c r="Q72" s="95">
        <v>325</v>
      </c>
      <c r="R72" s="98">
        <v>81.5</v>
      </c>
      <c r="T72" s="231">
        <v>527.99802999999997</v>
      </c>
      <c r="U72" s="21">
        <v>1099</v>
      </c>
      <c r="V72" s="17">
        <v>6.8599999999999998E-3</v>
      </c>
      <c r="W72" s="234"/>
      <c r="X72" s="18">
        <v>684.63730685656526</v>
      </c>
      <c r="Y72" s="21">
        <v>2197</v>
      </c>
      <c r="Z72" s="236">
        <v>6.5199999999999998E-3</v>
      </c>
    </row>
    <row r="73" spans="1:26" ht="17.25" thickBot="1">
      <c r="A73" s="231">
        <v>530.16050199999995</v>
      </c>
      <c r="B73" s="231">
        <v>333.04694599999999</v>
      </c>
      <c r="C73" s="231">
        <v>489.20225799999997</v>
      </c>
      <c r="D73" s="231">
        <v>533.98000000000013</v>
      </c>
      <c r="E73" s="231">
        <v>535.33199999999999</v>
      </c>
      <c r="F73" s="231">
        <v>402.12064359999999</v>
      </c>
      <c r="G73" s="231">
        <v>467.27458081999998</v>
      </c>
      <c r="H73" s="231">
        <v>683.67417983918835</v>
      </c>
      <c r="I73" s="231">
        <v>684.40853064787109</v>
      </c>
      <c r="J73" s="21">
        <v>2100</v>
      </c>
      <c r="K73" s="236">
        <v>6.2300000000000003E-3</v>
      </c>
      <c r="L73" s="235">
        <f t="shared" si="1"/>
        <v>6.2300000000000003E-3</v>
      </c>
      <c r="N73" s="95">
        <v>270</v>
      </c>
      <c r="O73" s="169">
        <v>0.68299999999999994</v>
      </c>
      <c r="Q73" s="95">
        <v>326</v>
      </c>
      <c r="R73" s="98">
        <v>81.2</v>
      </c>
      <c r="T73" s="231">
        <v>528.30710199999999</v>
      </c>
      <c r="U73" s="21">
        <v>1050</v>
      </c>
      <c r="V73" s="17">
        <v>6.5599999999999999E-3</v>
      </c>
      <c r="W73" s="234"/>
      <c r="X73" s="18">
        <v>684.91925098644469</v>
      </c>
      <c r="Y73" s="21">
        <v>2100</v>
      </c>
      <c r="Z73" s="236">
        <v>6.2300000000000003E-3</v>
      </c>
    </row>
    <row r="74" spans="1:26" ht="17.25" thickBot="1">
      <c r="A74" s="231">
        <v>530.36615200000006</v>
      </c>
      <c r="B74" s="231">
        <v>333.20743599999997</v>
      </c>
      <c r="C74" s="231">
        <v>489.58313600000002</v>
      </c>
      <c r="D74" s="231">
        <v>534.17200000000003</v>
      </c>
      <c r="E74" s="231">
        <v>535.55199999999991</v>
      </c>
      <c r="F74" s="231">
        <v>402.180545</v>
      </c>
      <c r="G74" s="231">
        <v>467.42150652999993</v>
      </c>
      <c r="H74" s="231">
        <v>684.07792515754045</v>
      </c>
      <c r="I74" s="231">
        <v>684.76515558963956</v>
      </c>
      <c r="J74" s="21">
        <v>1999</v>
      </c>
      <c r="K74" s="236">
        <v>5.9300000000000004E-3</v>
      </c>
      <c r="L74" s="235">
        <f t="shared" si="1"/>
        <v>5.9300000000000004E-3</v>
      </c>
      <c r="N74" s="95">
        <v>271</v>
      </c>
      <c r="O74" s="169">
        <v>0.67500000000000004</v>
      </c>
      <c r="Q74" s="95">
        <v>327</v>
      </c>
      <c r="R74" s="98">
        <v>80.900000000000006</v>
      </c>
      <c r="T74" s="231">
        <v>528.64814699999999</v>
      </c>
      <c r="U74" s="21">
        <v>999</v>
      </c>
      <c r="V74" s="17">
        <v>6.2399999999999999E-3</v>
      </c>
      <c r="W74" s="234"/>
      <c r="X74" s="18">
        <v>685.18411592367897</v>
      </c>
      <c r="Y74" s="21">
        <v>1999</v>
      </c>
      <c r="Z74" s="236">
        <v>5.9300000000000004E-3</v>
      </c>
    </row>
    <row r="75" spans="1:26" ht="17.25" thickBot="1">
      <c r="A75" s="231">
        <v>530.64926300000002</v>
      </c>
      <c r="B75" s="231">
        <v>333.35379399999999</v>
      </c>
      <c r="C75" s="231">
        <v>489.680339</v>
      </c>
      <c r="D75" s="231">
        <v>534.47200000000009</v>
      </c>
      <c r="E75" s="231">
        <v>535.82399999999996</v>
      </c>
      <c r="F75" s="231">
        <v>402.27011219999997</v>
      </c>
      <c r="G75" s="231">
        <v>467.79605531999994</v>
      </c>
      <c r="H75" s="231">
        <v>684.49832141794013</v>
      </c>
      <c r="I75" s="231">
        <v>685.11070454043556</v>
      </c>
      <c r="J75" s="21">
        <v>1899</v>
      </c>
      <c r="K75" s="236">
        <v>5.6299999999999996E-3</v>
      </c>
      <c r="L75" s="235">
        <f t="shared" si="1"/>
        <v>5.6299999999999996E-3</v>
      </c>
      <c r="N75" s="95">
        <v>273</v>
      </c>
      <c r="O75" s="169">
        <v>0.66700000000000004</v>
      </c>
      <c r="Q75" s="95">
        <v>328</v>
      </c>
      <c r="R75" s="98">
        <v>80.5</v>
      </c>
      <c r="T75" s="232">
        <v>529.00670300000002</v>
      </c>
      <c r="U75" s="22">
        <v>949</v>
      </c>
      <c r="V75" s="19">
        <v>5.9199999999999999E-3</v>
      </c>
      <c r="W75" s="234"/>
      <c r="X75" s="18">
        <v>685.41570729294222</v>
      </c>
      <c r="Y75" s="21">
        <v>1899</v>
      </c>
      <c r="Z75" s="236">
        <v>5.6299999999999996E-3</v>
      </c>
    </row>
    <row r="76" spans="1:26" ht="17.25" thickBot="1">
      <c r="A76" s="231">
        <v>530.99645799999996</v>
      </c>
      <c r="B76" s="231">
        <v>333.59003300000001</v>
      </c>
      <c r="C76" s="231">
        <v>489.94555700000001</v>
      </c>
      <c r="D76" s="231">
        <v>534.78</v>
      </c>
      <c r="E76" s="231">
        <v>536.1</v>
      </c>
      <c r="F76" s="231">
        <v>402.27030000000002</v>
      </c>
      <c r="G76" s="231">
        <v>468.07952975999996</v>
      </c>
      <c r="H76" s="231">
        <v>684.96311170552724</v>
      </c>
      <c r="I76" s="231">
        <v>685.44613813153126</v>
      </c>
      <c r="J76" s="21">
        <v>1800</v>
      </c>
      <c r="K76" s="236">
        <v>5.3400000000000001E-3</v>
      </c>
      <c r="L76" s="235">
        <f t="shared" si="1"/>
        <v>5.3400000000000001E-3</v>
      </c>
      <c r="N76" s="95">
        <v>274</v>
      </c>
      <c r="O76" s="169">
        <v>0.66</v>
      </c>
      <c r="Q76" s="95">
        <v>329</v>
      </c>
      <c r="R76" s="98">
        <v>80.2</v>
      </c>
      <c r="T76" s="231">
        <v>529.39442500000007</v>
      </c>
      <c r="U76" s="21">
        <v>899</v>
      </c>
      <c r="V76" s="17">
        <v>5.6100000000000004E-3</v>
      </c>
      <c r="W76" s="234"/>
      <c r="X76" s="18">
        <v>685.78939287970104</v>
      </c>
      <c r="Y76" s="21">
        <v>1800</v>
      </c>
      <c r="Z76" s="236">
        <v>5.3400000000000001E-3</v>
      </c>
    </row>
    <row r="77" spans="1:26" ht="17.25" thickBot="1">
      <c r="A77" s="232">
        <v>531.36240199999997</v>
      </c>
      <c r="B77" s="232">
        <v>333.691283</v>
      </c>
      <c r="C77" s="232">
        <v>490.240565</v>
      </c>
      <c r="D77" s="232">
        <v>535.05200000000002</v>
      </c>
      <c r="E77" s="232">
        <v>536.41200000000003</v>
      </c>
      <c r="F77" s="232">
        <v>402.2705924</v>
      </c>
      <c r="G77" s="232">
        <v>468.27903333999996</v>
      </c>
      <c r="H77" s="232">
        <v>685.27723327430294</v>
      </c>
      <c r="I77" s="232">
        <v>685.91672174487769</v>
      </c>
      <c r="J77" s="22">
        <v>1698</v>
      </c>
      <c r="K77" s="237">
        <v>5.0400000000000002E-3</v>
      </c>
      <c r="L77" s="235">
        <f t="shared" si="1"/>
        <v>5.0400000000000002E-3</v>
      </c>
      <c r="N77" s="95">
        <v>275</v>
      </c>
      <c r="O77" s="169">
        <v>0.65599999999999992</v>
      </c>
      <c r="Q77" s="95">
        <v>330</v>
      </c>
      <c r="R77" s="98">
        <v>79.8</v>
      </c>
      <c r="T77" s="231">
        <v>529.85278999999991</v>
      </c>
      <c r="U77" s="21">
        <v>849</v>
      </c>
      <c r="V77" s="17">
        <v>5.3E-3</v>
      </c>
      <c r="W77" s="234"/>
      <c r="X77" s="20">
        <v>686.17409986038842</v>
      </c>
      <c r="Y77" s="22">
        <v>1698</v>
      </c>
      <c r="Z77" s="237">
        <v>5.0400000000000002E-3</v>
      </c>
    </row>
    <row r="78" spans="1:26" ht="17.25" thickBot="1">
      <c r="A78" s="231">
        <v>531.597533</v>
      </c>
      <c r="B78" s="231">
        <v>333.91922899999997</v>
      </c>
      <c r="C78" s="231">
        <v>490.52390300000002</v>
      </c>
      <c r="D78" s="231">
        <v>535.39600000000007</v>
      </c>
      <c r="E78" s="231">
        <v>536.6</v>
      </c>
      <c r="F78" s="231">
        <v>403.17042449999997</v>
      </c>
      <c r="G78" s="231">
        <v>468.32804011999991</v>
      </c>
      <c r="H78" s="231">
        <v>685.70698391716235</v>
      </c>
      <c r="I78" s="231">
        <v>686.30998017184402</v>
      </c>
      <c r="J78" s="21">
        <v>1597</v>
      </c>
      <c r="K78" s="236">
        <v>4.7400000000000003E-3</v>
      </c>
      <c r="L78" s="235">
        <f t="shared" si="1"/>
        <v>4.7400000000000003E-3</v>
      </c>
      <c r="N78" s="95">
        <v>276</v>
      </c>
      <c r="O78" s="169">
        <v>0.64500000000000002</v>
      </c>
      <c r="Q78" s="95">
        <v>331</v>
      </c>
      <c r="R78" s="98">
        <v>79.5</v>
      </c>
      <c r="T78" s="231">
        <v>530.09769900000003</v>
      </c>
      <c r="U78" s="21">
        <v>800</v>
      </c>
      <c r="V78" s="17">
        <v>4.9899999999999996E-3</v>
      </c>
      <c r="W78" s="234"/>
      <c r="X78" s="18">
        <v>686.48827481366516</v>
      </c>
      <c r="Y78" s="21">
        <v>1597</v>
      </c>
      <c r="Z78" s="236">
        <v>4.7400000000000003E-3</v>
      </c>
    </row>
    <row r="79" spans="1:26" ht="17.25" thickBot="1">
      <c r="A79" s="231">
        <v>531.99533399999996</v>
      </c>
      <c r="B79" s="231">
        <v>334.01568100000003</v>
      </c>
      <c r="C79" s="231">
        <v>490.670727</v>
      </c>
      <c r="D79" s="231">
        <v>535.66</v>
      </c>
      <c r="E79" s="231">
        <v>537.16</v>
      </c>
      <c r="F79" s="231">
        <v>403.26021120000001</v>
      </c>
      <c r="G79" s="231">
        <v>468.58006922999994</v>
      </c>
      <c r="H79" s="231">
        <v>686.26536261644208</v>
      </c>
      <c r="I79" s="231">
        <v>686.74968088273124</v>
      </c>
      <c r="J79" s="21">
        <v>1497</v>
      </c>
      <c r="K79" s="236">
        <v>4.4400000000000004E-3</v>
      </c>
      <c r="L79" s="235">
        <f t="shared" si="1"/>
        <v>4.4400000000000004E-3</v>
      </c>
      <c r="N79" s="95">
        <v>277</v>
      </c>
      <c r="O79" s="169">
        <v>0.6409999999999999</v>
      </c>
      <c r="Q79" s="95">
        <v>332</v>
      </c>
      <c r="R79" s="98">
        <v>79.2</v>
      </c>
      <c r="T79" s="231">
        <v>530.47811899999999</v>
      </c>
      <c r="U79" s="21">
        <v>749</v>
      </c>
      <c r="V79" s="17">
        <v>4.6699999999999997E-3</v>
      </c>
      <c r="W79" s="234"/>
      <c r="X79" s="18">
        <v>686.9172529574513</v>
      </c>
      <c r="Y79" s="21">
        <v>1497</v>
      </c>
      <c r="Z79" s="236">
        <v>4.4400000000000004E-3</v>
      </c>
    </row>
    <row r="80" spans="1:26" ht="17.25" thickBot="1">
      <c r="A80" s="231">
        <v>532.562366</v>
      </c>
      <c r="B80" s="231">
        <v>334.231178</v>
      </c>
      <c r="C80" s="231">
        <v>490.821012</v>
      </c>
      <c r="D80" s="231">
        <v>536.07999999999993</v>
      </c>
      <c r="E80" s="231">
        <v>537.5</v>
      </c>
      <c r="F80" s="231">
        <v>403.26075620000006</v>
      </c>
      <c r="G80" s="231">
        <v>469.23101140999995</v>
      </c>
      <c r="H80" s="231">
        <v>686.60094314078663</v>
      </c>
      <c r="I80" s="231">
        <v>687.33406490651839</v>
      </c>
      <c r="J80" s="21">
        <v>1398</v>
      </c>
      <c r="K80" s="236">
        <v>4.15E-3</v>
      </c>
      <c r="L80" s="235">
        <f t="shared" si="1"/>
        <v>4.15E-3</v>
      </c>
      <c r="N80" s="95">
        <v>278</v>
      </c>
      <c r="O80" s="169">
        <v>0.63700000000000001</v>
      </c>
      <c r="Q80" s="95">
        <v>333</v>
      </c>
      <c r="R80" s="98">
        <v>78.8</v>
      </c>
      <c r="T80" s="231">
        <v>530.864507</v>
      </c>
      <c r="U80" s="21">
        <v>700</v>
      </c>
      <c r="V80" s="17">
        <v>4.3699999999999998E-3</v>
      </c>
      <c r="W80" s="234"/>
      <c r="X80" s="18">
        <v>687.38173754822662</v>
      </c>
      <c r="Y80" s="21">
        <v>1398</v>
      </c>
      <c r="Z80" s="236">
        <v>4.15E-3</v>
      </c>
    </row>
    <row r="81" spans="1:26" ht="17.25" thickBot="1">
      <c r="A81" s="231">
        <v>532.76362500000005</v>
      </c>
      <c r="B81" s="231">
        <v>334.44000300000005</v>
      </c>
      <c r="C81" s="231">
        <v>491.20650699999999</v>
      </c>
      <c r="D81" s="231">
        <v>536.42000000000007</v>
      </c>
      <c r="E81" s="231">
        <v>537.72</v>
      </c>
      <c r="F81" s="231">
        <v>404.16021579999995</v>
      </c>
      <c r="G81" s="231">
        <v>469.37457739999996</v>
      </c>
      <c r="H81" s="231">
        <v>687.17514871116987</v>
      </c>
      <c r="I81" s="231">
        <v>687.72917396137632</v>
      </c>
      <c r="J81" s="21">
        <v>1299</v>
      </c>
      <c r="K81" s="236">
        <v>3.8500000000000001E-3</v>
      </c>
      <c r="L81" s="235">
        <f t="shared" si="1"/>
        <v>3.8500000000000001E-3</v>
      </c>
      <c r="N81" s="95">
        <v>279</v>
      </c>
      <c r="O81" s="169">
        <v>0.63</v>
      </c>
      <c r="Q81" s="95">
        <v>334</v>
      </c>
      <c r="R81" s="98">
        <v>78.5</v>
      </c>
      <c r="T81" s="231">
        <v>531.29685700000005</v>
      </c>
      <c r="U81" s="21">
        <v>650</v>
      </c>
      <c r="V81" s="17">
        <v>4.0600000000000002E-3</v>
      </c>
      <c r="W81" s="234"/>
      <c r="X81" s="18">
        <v>687.80961252999191</v>
      </c>
      <c r="Y81" s="21">
        <v>1299</v>
      </c>
      <c r="Z81" s="236">
        <v>3.8500000000000001E-3</v>
      </c>
    </row>
    <row r="82" spans="1:26" ht="17.25" thickBot="1">
      <c r="A82" s="231">
        <v>533.16896199999996</v>
      </c>
      <c r="B82" s="231">
        <v>334.67118199999999</v>
      </c>
      <c r="C82" s="231">
        <v>491.67092299999996</v>
      </c>
      <c r="D82" s="231">
        <v>536.78000000000009</v>
      </c>
      <c r="E82" s="231">
        <v>538.02</v>
      </c>
      <c r="F82" s="231">
        <v>404.16083369999996</v>
      </c>
      <c r="G82" s="231">
        <v>469.53550902999996</v>
      </c>
      <c r="H82" s="231">
        <v>687.67729045473573</v>
      </c>
      <c r="I82" s="231">
        <v>688.15300306588028</v>
      </c>
      <c r="J82" s="21">
        <v>1198</v>
      </c>
      <c r="K82" s="236">
        <v>3.5500000000000002E-3</v>
      </c>
      <c r="L82" s="235">
        <f t="shared" si="1"/>
        <v>3.5500000000000002E-3</v>
      </c>
      <c r="N82" s="95">
        <v>280</v>
      </c>
      <c r="O82" s="169">
        <v>0.626</v>
      </c>
      <c r="Q82" s="95">
        <v>335</v>
      </c>
      <c r="R82" s="98">
        <v>78.099999999999994</v>
      </c>
      <c r="T82" s="231">
        <v>531.694301</v>
      </c>
      <c r="U82" s="21">
        <v>600</v>
      </c>
      <c r="V82" s="17">
        <v>3.7499999999999999E-3</v>
      </c>
      <c r="W82" s="234"/>
      <c r="X82" s="18">
        <v>688.31564990828929</v>
      </c>
      <c r="Y82" s="21">
        <v>1198</v>
      </c>
      <c r="Z82" s="236">
        <v>3.5500000000000002E-3</v>
      </c>
    </row>
    <row r="83" spans="1:26" ht="17.25" thickBot="1">
      <c r="A83" s="231">
        <v>533.64847499999996</v>
      </c>
      <c r="B83" s="231">
        <v>335.02946500000002</v>
      </c>
      <c r="C83" s="231">
        <v>491.94016600000003</v>
      </c>
      <c r="D83" s="231">
        <v>537.08000000000004</v>
      </c>
      <c r="E83" s="231">
        <v>538.31600000000003</v>
      </c>
      <c r="F83" s="231">
        <v>404.25029760000001</v>
      </c>
      <c r="G83" s="231">
        <v>470.16555207999994</v>
      </c>
      <c r="H83" s="231">
        <v>688.18867591980609</v>
      </c>
      <c r="I83" s="231">
        <v>688.63148878689003</v>
      </c>
      <c r="J83" s="21">
        <v>1098</v>
      </c>
      <c r="K83" s="236">
        <v>3.2599999999999999E-3</v>
      </c>
      <c r="L83" s="235">
        <f t="shared" si="1"/>
        <v>3.2599999999999999E-3</v>
      </c>
      <c r="N83" s="96">
        <v>281</v>
      </c>
      <c r="O83" s="169">
        <v>0.622</v>
      </c>
      <c r="Q83" s="95">
        <v>336</v>
      </c>
      <c r="R83" s="98">
        <v>77.8</v>
      </c>
      <c r="T83" s="232">
        <v>532.24883199999999</v>
      </c>
      <c r="U83" s="22">
        <v>550</v>
      </c>
      <c r="V83" s="19">
        <v>3.4399999999999999E-3</v>
      </c>
      <c r="W83" s="234"/>
      <c r="X83" s="18">
        <v>688.97463179150532</v>
      </c>
      <c r="Y83" s="21">
        <v>1098</v>
      </c>
      <c r="Z83" s="236">
        <v>3.2599999999999999E-3</v>
      </c>
    </row>
    <row r="84" spans="1:26" ht="17.25" thickBot="1">
      <c r="A84" s="231">
        <v>534.13184100000001</v>
      </c>
      <c r="B84" s="231">
        <v>335.190945</v>
      </c>
      <c r="C84" s="231">
        <v>492.33855600000004</v>
      </c>
      <c r="D84" s="231">
        <v>537.5200000000001</v>
      </c>
      <c r="E84" s="231">
        <v>538.71999999999991</v>
      </c>
      <c r="F84" s="231">
        <v>404.25059119999997</v>
      </c>
      <c r="G84" s="231">
        <v>470.37905311999998</v>
      </c>
      <c r="H84" s="231">
        <v>688.78180686804262</v>
      </c>
      <c r="I84" s="231">
        <v>688.99801718440187</v>
      </c>
      <c r="J84" s="21">
        <v>999</v>
      </c>
      <c r="K84" s="236">
        <v>2.96E-3</v>
      </c>
      <c r="L84" s="235">
        <f t="shared" si="1"/>
        <v>2.96E-3</v>
      </c>
      <c r="N84" s="95">
        <v>283</v>
      </c>
      <c r="O84" s="169">
        <v>0.61899999999999999</v>
      </c>
      <c r="Q84" s="95">
        <v>337</v>
      </c>
      <c r="R84" s="98">
        <v>77.400000000000006</v>
      </c>
      <c r="T84" s="231">
        <v>532.79929900000002</v>
      </c>
      <c r="U84" s="21">
        <v>499</v>
      </c>
      <c r="V84" s="17">
        <v>3.1199999999999999E-3</v>
      </c>
      <c r="W84" s="234"/>
      <c r="X84" s="18">
        <v>689.42673497953172</v>
      </c>
      <c r="Y84" s="21">
        <v>999</v>
      </c>
      <c r="Z84" s="236">
        <v>2.96E-3</v>
      </c>
    </row>
    <row r="85" spans="1:26" ht="17.25" thickBot="1">
      <c r="A85" s="231">
        <v>534.76114099999995</v>
      </c>
      <c r="B85" s="231">
        <v>335.38614200000001</v>
      </c>
      <c r="C85" s="231">
        <v>492.73640600000004</v>
      </c>
      <c r="D85" s="231">
        <v>537.81999999999994</v>
      </c>
      <c r="E85" s="231">
        <v>539.12</v>
      </c>
      <c r="F85" s="231">
        <v>405.1504142</v>
      </c>
      <c r="G85" s="231">
        <v>470.52600209999997</v>
      </c>
      <c r="H85" s="231">
        <v>689.23397224058158</v>
      </c>
      <c r="I85" s="231">
        <v>689.55225433856526</v>
      </c>
      <c r="J85" s="21">
        <v>900</v>
      </c>
      <c r="K85" s="236">
        <v>2.6700000000000001E-3</v>
      </c>
      <c r="L85" s="235">
        <f t="shared" si="1"/>
        <v>2.6700000000000001E-3</v>
      </c>
      <c r="N85" s="95">
        <v>284</v>
      </c>
      <c r="O85" s="169">
        <v>0.61099999999999999</v>
      </c>
      <c r="Q85" s="95">
        <v>338</v>
      </c>
      <c r="R85" s="98">
        <v>77.099999999999994</v>
      </c>
      <c r="T85" s="231">
        <v>533.24858300000005</v>
      </c>
      <c r="U85" s="21">
        <v>449</v>
      </c>
      <c r="V85" s="17">
        <v>2.8E-3</v>
      </c>
      <c r="W85" s="234"/>
      <c r="X85" s="18">
        <v>689.78177829285812</v>
      </c>
      <c r="Y85" s="21">
        <v>900</v>
      </c>
      <c r="Z85" s="236">
        <v>2.6700000000000001E-3</v>
      </c>
    </row>
    <row r="86" spans="1:26" ht="17.25" thickBot="1">
      <c r="A86" s="232">
        <v>535.07117899999992</v>
      </c>
      <c r="B86" s="232">
        <v>335.65918199999999</v>
      </c>
      <c r="C86" s="232">
        <v>492.98899</v>
      </c>
      <c r="D86" s="232">
        <v>538.21199999999999</v>
      </c>
      <c r="E86" s="232">
        <v>539.48</v>
      </c>
      <c r="F86" s="232">
        <v>405.24015960000003</v>
      </c>
      <c r="G86" s="232">
        <v>471.01254141999993</v>
      </c>
      <c r="H86" s="232">
        <v>689.72349162116723</v>
      </c>
      <c r="I86" s="232">
        <v>689.9557877529603</v>
      </c>
      <c r="J86" s="22">
        <v>799</v>
      </c>
      <c r="K86" s="237">
        <v>2.3700000000000001E-3</v>
      </c>
      <c r="L86" s="235">
        <f t="shared" si="1"/>
        <v>2.3700000000000001E-3</v>
      </c>
      <c r="N86" s="95">
        <v>285</v>
      </c>
      <c r="O86" s="169">
        <v>0.60799999999999998</v>
      </c>
      <c r="Q86" s="95">
        <v>339</v>
      </c>
      <c r="R86" s="98">
        <v>76.7</v>
      </c>
      <c r="T86" s="231">
        <v>533.71722599999998</v>
      </c>
      <c r="U86" s="21">
        <v>400</v>
      </c>
      <c r="V86" s="17">
        <v>2.5000000000000001E-3</v>
      </c>
      <c r="W86" s="234"/>
      <c r="X86" s="20">
        <v>690.2324080958922</v>
      </c>
      <c r="Y86" s="22">
        <v>799</v>
      </c>
      <c r="Z86" s="237">
        <v>2.3700000000000001E-3</v>
      </c>
    </row>
    <row r="87" spans="1:26" ht="17.25" thickBot="1">
      <c r="A87" s="231">
        <v>535.60125600000003</v>
      </c>
      <c r="B87" s="231">
        <v>335.90221399999996</v>
      </c>
      <c r="C87" s="231">
        <v>493.39332199999996</v>
      </c>
      <c r="D87" s="231">
        <v>538.68000000000006</v>
      </c>
      <c r="E87" s="231">
        <v>539.87999999999988</v>
      </c>
      <c r="F87" s="231">
        <v>405.2405071</v>
      </c>
      <c r="G87" s="231">
        <v>471.37658252999995</v>
      </c>
      <c r="H87" s="231">
        <v>690.2543957457757</v>
      </c>
      <c r="I87" s="231">
        <v>690.45442789477431</v>
      </c>
      <c r="J87" s="21">
        <v>700</v>
      </c>
      <c r="K87" s="236">
        <v>2.0699999999999998E-3</v>
      </c>
      <c r="L87" s="235">
        <f t="shared" si="1"/>
        <v>2.0699999999999998E-3</v>
      </c>
      <c r="N87" s="95">
        <v>286</v>
      </c>
      <c r="O87" s="169">
        <v>0.60399999999999998</v>
      </c>
      <c r="Q87" s="95">
        <v>340</v>
      </c>
      <c r="R87" s="98">
        <v>76.400000000000006</v>
      </c>
      <c r="T87" s="231">
        <v>534.57703300000003</v>
      </c>
      <c r="U87" s="21">
        <v>349</v>
      </c>
      <c r="V87" s="17">
        <v>2.1800000000000001E-3</v>
      </c>
      <c r="W87" s="234"/>
      <c r="X87" s="18">
        <v>690.7894682646388</v>
      </c>
      <c r="Y87" s="21">
        <v>700</v>
      </c>
      <c r="Z87" s="236">
        <v>2.0699999999999998E-3</v>
      </c>
    </row>
    <row r="88" spans="1:26" ht="17.25" thickBot="1">
      <c r="A88" s="231">
        <v>536.36020800000006</v>
      </c>
      <c r="B88" s="231">
        <v>336.15821999999997</v>
      </c>
      <c r="C88" s="231">
        <v>493.78988099999998</v>
      </c>
      <c r="D88" s="231">
        <v>538.952</v>
      </c>
      <c r="E88" s="231">
        <v>540.31999999999994</v>
      </c>
      <c r="F88" s="231">
        <v>405.24082529999998</v>
      </c>
      <c r="G88" s="231">
        <v>471.52703492000001</v>
      </c>
      <c r="H88" s="231">
        <v>691.21937700918738</v>
      </c>
      <c r="I88" s="231">
        <v>691.05684071381359</v>
      </c>
      <c r="J88" s="21">
        <v>597</v>
      </c>
      <c r="K88" s="236">
        <v>1.7700000000000001E-3</v>
      </c>
      <c r="L88" s="235">
        <f t="shared" si="1"/>
        <v>1.7700000000000001E-3</v>
      </c>
      <c r="N88" s="95">
        <v>287</v>
      </c>
      <c r="O88" s="169">
        <v>0.59499999999999931</v>
      </c>
      <c r="Q88" s="95">
        <v>341</v>
      </c>
      <c r="R88" s="98">
        <v>76</v>
      </c>
      <c r="T88" s="231">
        <v>535.22566800000004</v>
      </c>
      <c r="U88" s="21">
        <v>299</v>
      </c>
      <c r="V88" s="17">
        <v>1.8699999999999999E-3</v>
      </c>
      <c r="W88" s="234"/>
      <c r="X88" s="18">
        <v>691.29501244293613</v>
      </c>
      <c r="Y88" s="21">
        <v>597</v>
      </c>
      <c r="Z88" s="236">
        <v>1.7700000000000001E-3</v>
      </c>
    </row>
    <row r="89" spans="1:26" ht="17.25" thickBot="1">
      <c r="A89" s="231">
        <v>536.99970299999995</v>
      </c>
      <c r="B89" s="231">
        <v>336.46042599999998</v>
      </c>
      <c r="C89" s="231">
        <v>494.186577</v>
      </c>
      <c r="D89" s="231">
        <v>539.52</v>
      </c>
      <c r="E89" s="231">
        <v>540.79199999999992</v>
      </c>
      <c r="F89" s="231">
        <v>406.23065680000002</v>
      </c>
      <c r="G89" s="231">
        <v>471.94000448999992</v>
      </c>
      <c r="H89" s="231">
        <v>691.8140606684392</v>
      </c>
      <c r="I89" s="231">
        <v>692.09319233311294</v>
      </c>
      <c r="J89" s="21">
        <v>499</v>
      </c>
      <c r="K89" s="236">
        <v>1.48E-3</v>
      </c>
      <c r="L89" s="235">
        <f t="shared" si="1"/>
        <v>1.48E-3</v>
      </c>
      <c r="N89" s="95">
        <v>288</v>
      </c>
      <c r="O89" s="169">
        <v>0.59099999999999941</v>
      </c>
      <c r="Q89" s="95">
        <v>342</v>
      </c>
      <c r="R89" s="98">
        <v>75.7</v>
      </c>
      <c r="T89" s="231">
        <v>536.10147500000005</v>
      </c>
      <c r="U89" s="21">
        <v>249</v>
      </c>
      <c r="V89" s="17">
        <v>1.5499999999999999E-3</v>
      </c>
      <c r="W89" s="234"/>
      <c r="X89" s="18">
        <v>691.77710714295108</v>
      </c>
      <c r="Y89" s="21">
        <v>499</v>
      </c>
      <c r="Z89" s="236">
        <v>1.48E-3</v>
      </c>
    </row>
    <row r="90" spans="1:26" ht="17.25" thickBot="1">
      <c r="A90" s="231">
        <v>537.36744899999997</v>
      </c>
      <c r="B90" s="231">
        <v>336.55096000000003</v>
      </c>
      <c r="C90" s="231">
        <v>494.39204899999999</v>
      </c>
      <c r="D90" s="231">
        <v>540.04000000000008</v>
      </c>
      <c r="E90" s="231">
        <v>541.26400000000001</v>
      </c>
      <c r="F90" s="231">
        <v>407.1304682</v>
      </c>
      <c r="G90" s="231">
        <v>472.47555801999988</v>
      </c>
      <c r="H90" s="231">
        <v>692.23742483557419</v>
      </c>
      <c r="I90" s="231">
        <v>692.41163405882514</v>
      </c>
      <c r="J90" s="21">
        <v>449</v>
      </c>
      <c r="K90" s="236">
        <v>1.33E-3</v>
      </c>
      <c r="L90" s="235">
        <f t="shared" si="1"/>
        <v>1.33E-3</v>
      </c>
      <c r="N90" s="95">
        <v>289</v>
      </c>
      <c r="O90" s="169">
        <v>0.58699999999999941</v>
      </c>
      <c r="Q90" s="95">
        <v>343</v>
      </c>
      <c r="R90" s="98">
        <v>75.3</v>
      </c>
      <c r="T90" s="231">
        <v>536.50769300000002</v>
      </c>
      <c r="U90" s="21">
        <v>225</v>
      </c>
      <c r="V90" s="17">
        <v>1.41E-3</v>
      </c>
      <c r="W90" s="234"/>
      <c r="X90" s="18">
        <v>692.33303931169758</v>
      </c>
      <c r="Y90" s="21">
        <v>449</v>
      </c>
      <c r="Z90" s="236">
        <v>1.33E-3</v>
      </c>
    </row>
    <row r="91" spans="1:26" ht="17.25" thickBot="1">
      <c r="A91" s="231">
        <v>537.760042</v>
      </c>
      <c r="B91" s="231">
        <v>336.81119099999995</v>
      </c>
      <c r="C91" s="231">
        <v>494.72596199999998</v>
      </c>
      <c r="D91" s="231">
        <v>540.27200000000005</v>
      </c>
      <c r="E91" s="231">
        <v>541.6</v>
      </c>
      <c r="F91" s="231">
        <v>407.13090210000001</v>
      </c>
      <c r="G91" s="231">
        <v>472.89201619999994</v>
      </c>
      <c r="H91" s="231">
        <v>692.72240581625908</v>
      </c>
      <c r="I91" s="231">
        <v>692.74913584571368</v>
      </c>
      <c r="J91" s="21">
        <v>399</v>
      </c>
      <c r="K91" s="236">
        <v>1.1800000000000001E-3</v>
      </c>
      <c r="L91" s="235">
        <f t="shared" si="1"/>
        <v>1.1800000000000001E-3</v>
      </c>
      <c r="N91" s="95">
        <v>290</v>
      </c>
      <c r="O91" s="169">
        <v>0.5789999999999994</v>
      </c>
      <c r="Q91" s="95">
        <v>344</v>
      </c>
      <c r="R91" s="98">
        <v>75</v>
      </c>
      <c r="T91" s="232">
        <v>537.14671099999998</v>
      </c>
      <c r="U91" s="22">
        <v>200</v>
      </c>
      <c r="V91" s="19">
        <v>1.25E-3</v>
      </c>
      <c r="W91" s="234"/>
      <c r="X91" s="18">
        <v>693.04697055114275</v>
      </c>
      <c r="Y91" s="21">
        <v>399</v>
      </c>
      <c r="Z91" s="236">
        <v>1.1800000000000001E-3</v>
      </c>
    </row>
    <row r="92" spans="1:26" ht="17.25" thickBot="1">
      <c r="A92" s="231">
        <v>537.96870999999999</v>
      </c>
      <c r="B92" s="231">
        <v>337.17599899999999</v>
      </c>
      <c r="C92" s="231">
        <v>495.11706199999998</v>
      </c>
      <c r="D92" s="231">
        <v>540.82000000000005</v>
      </c>
      <c r="E92" s="231">
        <v>542.03199999999993</v>
      </c>
      <c r="F92" s="231">
        <v>407.22040720000001</v>
      </c>
      <c r="G92" s="231">
        <v>473.42057146999997</v>
      </c>
      <c r="H92" s="231">
        <v>693.14896502416877</v>
      </c>
      <c r="I92" s="231">
        <v>693.2210459580732</v>
      </c>
      <c r="J92" s="21">
        <v>350</v>
      </c>
      <c r="K92" s="236">
        <v>1.0399999999999999E-3</v>
      </c>
      <c r="L92" s="235">
        <f t="shared" si="1"/>
        <v>1.0399999999999999E-3</v>
      </c>
      <c r="N92" s="95">
        <v>291</v>
      </c>
      <c r="O92" s="169">
        <v>0.5749999999999994</v>
      </c>
      <c r="Q92" s="95">
        <v>345</v>
      </c>
      <c r="R92" s="98">
        <v>74.599999999999994</v>
      </c>
      <c r="T92" s="231">
        <v>537.603565</v>
      </c>
      <c r="U92" s="21">
        <v>175</v>
      </c>
      <c r="V92" s="17">
        <v>1.09E-3</v>
      </c>
      <c r="W92" s="234"/>
      <c r="X92" s="18">
        <v>693.60851892532423</v>
      </c>
      <c r="Y92" s="21">
        <v>350</v>
      </c>
      <c r="Z92" s="236">
        <v>1.0399999999999999E-3</v>
      </c>
    </row>
    <row r="93" spans="1:26" ht="17.25" thickBot="1">
      <c r="A93" s="231">
        <v>538.36504600000001</v>
      </c>
      <c r="B93" s="231">
        <v>337.49108699999999</v>
      </c>
      <c r="C93" s="231">
        <v>495.69377399999996</v>
      </c>
      <c r="D93" s="231">
        <v>541.28</v>
      </c>
      <c r="E93" s="231">
        <v>542.33199999999999</v>
      </c>
      <c r="F93" s="231">
        <v>407.22064260000002</v>
      </c>
      <c r="G93" s="231">
        <v>473.57458693999996</v>
      </c>
      <c r="H93" s="231">
        <v>694.18952882323663</v>
      </c>
      <c r="I93" s="231">
        <v>694.25732694272017</v>
      </c>
      <c r="J93" s="21">
        <v>300</v>
      </c>
      <c r="K93" s="236">
        <v>8.8999999999999995E-4</v>
      </c>
      <c r="L93" s="235">
        <f t="shared" si="1"/>
        <v>8.8999999999999995E-4</v>
      </c>
      <c r="N93" s="95">
        <v>292</v>
      </c>
      <c r="O93" s="169">
        <v>0.56499999999999995</v>
      </c>
      <c r="Q93" s="95">
        <v>346</v>
      </c>
      <c r="R93" s="98">
        <v>74.2</v>
      </c>
      <c r="T93" s="231">
        <v>538.07172300000002</v>
      </c>
      <c r="U93" s="21">
        <v>150</v>
      </c>
      <c r="V93" s="17">
        <v>9.3999999999999997E-4</v>
      </c>
      <c r="W93" s="234"/>
      <c r="X93" s="18">
        <v>694.22666276664756</v>
      </c>
      <c r="Y93" s="21">
        <v>300</v>
      </c>
      <c r="Z93" s="236">
        <v>8.8999999999999995E-4</v>
      </c>
    </row>
    <row r="94" spans="1:26" ht="17.25" thickBot="1">
      <c r="A94" s="232">
        <v>538.59506199999998</v>
      </c>
      <c r="B94" s="232">
        <v>337.586049</v>
      </c>
      <c r="C94" s="232">
        <v>495.88746500000002</v>
      </c>
      <c r="D94" s="232">
        <v>541.43200000000002</v>
      </c>
      <c r="E94" s="232">
        <v>542.62</v>
      </c>
      <c r="F94" s="232">
        <v>407.22077740000003</v>
      </c>
      <c r="G94" s="232">
        <v>473.63050592999991</v>
      </c>
      <c r="H94" s="232">
        <v>694.52510934758118</v>
      </c>
      <c r="I94" s="232">
        <v>694.67982388426674</v>
      </c>
      <c r="J94" s="22">
        <v>269</v>
      </c>
      <c r="K94" s="237">
        <v>8.0000000000000004E-4</v>
      </c>
      <c r="L94" s="235">
        <f t="shared" si="1"/>
        <v>8.0000000000000004E-4</v>
      </c>
      <c r="N94" s="95">
        <v>293</v>
      </c>
      <c r="O94" s="169">
        <v>0.56000000000000005</v>
      </c>
      <c r="Q94" s="95">
        <v>347</v>
      </c>
      <c r="R94" s="98">
        <v>73.900000000000006</v>
      </c>
      <c r="T94" s="231">
        <v>538.20255200000008</v>
      </c>
      <c r="U94" s="21">
        <v>135</v>
      </c>
      <c r="V94" s="17">
        <v>8.4000000000000003E-4</v>
      </c>
      <c r="W94" s="234"/>
      <c r="X94" s="20">
        <v>694.3832186370538</v>
      </c>
      <c r="Y94" s="22">
        <v>269</v>
      </c>
      <c r="Z94" s="237">
        <v>8.0000000000000004E-4</v>
      </c>
    </row>
    <row r="95" spans="1:26" ht="17.25" thickBot="1">
      <c r="A95" s="231">
        <v>538.80234599999994</v>
      </c>
      <c r="B95" s="231">
        <v>337.65893199999999</v>
      </c>
      <c r="C95" s="231">
        <v>496.05341499999997</v>
      </c>
      <c r="D95" s="231">
        <v>541.79999999999995</v>
      </c>
      <c r="E95" s="231">
        <v>542.91999999999996</v>
      </c>
      <c r="F95" s="231">
        <v>407.22089140000003</v>
      </c>
      <c r="G95" s="231">
        <v>473.72506576999996</v>
      </c>
      <c r="H95" s="231">
        <v>694.95488463847664</v>
      </c>
      <c r="I95" s="231">
        <v>695.24707665037022</v>
      </c>
      <c r="J95" s="21">
        <v>237</v>
      </c>
      <c r="K95" s="236">
        <v>6.9999999999999999E-4</v>
      </c>
      <c r="L95" s="235">
        <f t="shared" si="1"/>
        <v>6.9999999999999999E-4</v>
      </c>
      <c r="N95" s="95">
        <v>294</v>
      </c>
      <c r="O95" s="169">
        <v>0.55000000000000004</v>
      </c>
      <c r="Q95" s="95">
        <v>348</v>
      </c>
      <c r="R95" s="98">
        <v>73.5</v>
      </c>
      <c r="T95" s="231">
        <v>538.5693</v>
      </c>
      <c r="U95" s="21">
        <v>120</v>
      </c>
      <c r="V95" s="17">
        <v>7.5000000000000002E-4</v>
      </c>
      <c r="W95" s="234"/>
      <c r="X95" s="18">
        <v>694.62384468706125</v>
      </c>
      <c r="Y95" s="21">
        <v>237</v>
      </c>
      <c r="Z95" s="236">
        <v>6.9999999999999999E-4</v>
      </c>
    </row>
    <row r="96" spans="1:26" ht="17.25" thickBot="1">
      <c r="A96" s="231">
        <v>539.38489800000002</v>
      </c>
      <c r="B96" s="231">
        <v>337.89921000000004</v>
      </c>
      <c r="C96" s="231">
        <v>496.19893200000001</v>
      </c>
      <c r="D96" s="231">
        <v>541.99199999999996</v>
      </c>
      <c r="E96" s="231">
        <v>543.39199999999994</v>
      </c>
      <c r="F96" s="231">
        <v>408.21030619999999</v>
      </c>
      <c r="G96" s="231">
        <v>473.99107048999991</v>
      </c>
      <c r="H96" s="231">
        <v>695.3221130928996</v>
      </c>
      <c r="I96" s="231">
        <v>695.64639788499665</v>
      </c>
      <c r="J96" s="21">
        <v>209</v>
      </c>
      <c r="K96" s="236">
        <v>6.2E-4</v>
      </c>
      <c r="L96" s="235">
        <f t="shared" si="1"/>
        <v>6.2E-4</v>
      </c>
      <c r="N96" s="95">
        <v>295</v>
      </c>
      <c r="O96" s="169">
        <v>0.54500000000000004</v>
      </c>
      <c r="Q96" s="95">
        <v>349</v>
      </c>
      <c r="R96" s="98">
        <v>73.2</v>
      </c>
      <c r="T96" s="231">
        <v>538.96653500000002</v>
      </c>
      <c r="U96" s="21">
        <v>105</v>
      </c>
      <c r="V96" s="17">
        <v>6.4999999999999997E-4</v>
      </c>
      <c r="W96" s="234"/>
      <c r="X96" s="18">
        <v>694.71489128133476</v>
      </c>
      <c r="Y96" s="21">
        <v>209</v>
      </c>
      <c r="Z96" s="236">
        <v>6.2E-4</v>
      </c>
    </row>
    <row r="97" spans="1:26" ht="17.25" thickBot="1">
      <c r="A97" s="231">
        <v>539.76499899999999</v>
      </c>
      <c r="B97" s="231">
        <v>338.04758600000002</v>
      </c>
      <c r="C97" s="231">
        <v>496.54103699999996</v>
      </c>
      <c r="D97" s="231">
        <v>542.43200000000013</v>
      </c>
      <c r="E97" s="231">
        <v>543.74</v>
      </c>
      <c r="F97" s="231">
        <v>408.2105305</v>
      </c>
      <c r="G97" s="231">
        <v>474.52652414999994</v>
      </c>
      <c r="H97" s="231">
        <v>695.72585841125169</v>
      </c>
      <c r="I97" s="231">
        <v>696.08602796123171</v>
      </c>
      <c r="J97" s="21">
        <v>178</v>
      </c>
      <c r="K97" s="236">
        <v>5.2999999999999998E-4</v>
      </c>
      <c r="L97" s="235">
        <f t="shared" si="1"/>
        <v>5.2999999999999998E-4</v>
      </c>
      <c r="N97" s="95">
        <v>296</v>
      </c>
      <c r="O97" s="169">
        <v>0.54</v>
      </c>
      <c r="Q97" s="95">
        <v>350</v>
      </c>
      <c r="R97" s="98">
        <v>72.900000000000006</v>
      </c>
      <c r="T97" s="231">
        <v>539.20510100000001</v>
      </c>
      <c r="U97" s="21">
        <v>90</v>
      </c>
      <c r="V97" s="17">
        <v>5.5999999999999995E-4</v>
      </c>
      <c r="W97" s="234"/>
      <c r="X97" s="18">
        <v>695.22750040472226</v>
      </c>
      <c r="Y97" s="21">
        <v>178</v>
      </c>
      <c r="Z97" s="236">
        <v>5.2999999999999998E-4</v>
      </c>
    </row>
    <row r="98" spans="1:26" ht="17.25" thickBot="1">
      <c r="A98" s="231">
        <v>539.980862</v>
      </c>
      <c r="B98" s="231">
        <v>338.36230500000005</v>
      </c>
      <c r="C98" s="231">
        <v>496.92793799999998</v>
      </c>
      <c r="D98" s="231">
        <v>542.81999999999994</v>
      </c>
      <c r="E98" s="231">
        <v>544.1400000000001</v>
      </c>
      <c r="F98" s="231">
        <v>408.21073149999995</v>
      </c>
      <c r="G98" s="231">
        <v>474.68053795999992</v>
      </c>
      <c r="H98" s="231">
        <v>696.32198301741141</v>
      </c>
      <c r="I98" s="231">
        <v>696.72476770449157</v>
      </c>
      <c r="J98" s="21">
        <v>150</v>
      </c>
      <c r="K98" s="236">
        <v>4.4999999999999999E-4</v>
      </c>
      <c r="L98" s="235">
        <f t="shared" si="1"/>
        <v>4.4999999999999999E-4</v>
      </c>
      <c r="N98" s="95">
        <v>297</v>
      </c>
      <c r="O98" s="169">
        <v>0.53</v>
      </c>
      <c r="Q98" s="95">
        <v>351</v>
      </c>
      <c r="R98" s="98">
        <v>72.5</v>
      </c>
      <c r="T98" s="231">
        <v>539.69348600000001</v>
      </c>
      <c r="U98" s="21">
        <v>75</v>
      </c>
      <c r="V98" s="17">
        <v>4.6999999999999999E-4</v>
      </c>
      <c r="W98" s="234"/>
      <c r="X98" s="18">
        <v>696.18294534986615</v>
      </c>
      <c r="Y98" s="21">
        <v>150</v>
      </c>
      <c r="Z98" s="236">
        <v>4.4999999999999999E-4</v>
      </c>
    </row>
    <row r="99" spans="1:26" ht="17.25" thickBot="1">
      <c r="A99" s="231">
        <v>540.36508700000002</v>
      </c>
      <c r="B99" s="231">
        <v>338.78988199999998</v>
      </c>
      <c r="C99" s="231">
        <v>497.618089</v>
      </c>
      <c r="D99" s="231">
        <v>543.75200000000007</v>
      </c>
      <c r="E99" s="231">
        <v>544.952</v>
      </c>
      <c r="F99" s="231">
        <v>410.19016549999998</v>
      </c>
      <c r="G99" s="231">
        <v>475.94401654999996</v>
      </c>
      <c r="H99" s="231">
        <v>697.18426966292134</v>
      </c>
      <c r="I99" s="231">
        <v>697.39068530748773</v>
      </c>
      <c r="J99" s="21">
        <v>119</v>
      </c>
      <c r="K99" s="236">
        <v>3.5E-4</v>
      </c>
      <c r="L99" s="235">
        <f t="shared" si="1"/>
        <v>3.5E-4</v>
      </c>
      <c r="N99" s="95">
        <v>298</v>
      </c>
      <c r="O99" s="169">
        <v>0.52</v>
      </c>
      <c r="Q99" s="95">
        <v>352</v>
      </c>
      <c r="R99" s="98">
        <v>72.2</v>
      </c>
      <c r="T99" s="232">
        <v>540.10372099999995</v>
      </c>
      <c r="U99" s="22">
        <v>60</v>
      </c>
      <c r="V99" s="19">
        <v>3.6999999999999999E-4</v>
      </c>
      <c r="W99" s="234"/>
      <c r="X99" s="18">
        <v>697.72580594123372</v>
      </c>
      <c r="Y99" s="21">
        <v>119</v>
      </c>
      <c r="Z99" s="236">
        <v>3.5E-4</v>
      </c>
    </row>
    <row r="100" spans="1:26" ht="17.25" thickBot="1">
      <c r="A100" s="231">
        <v>540.76693799999998</v>
      </c>
      <c r="B100" s="231">
        <v>339.32255900000001</v>
      </c>
      <c r="C100" s="231">
        <v>498.13944499999997</v>
      </c>
      <c r="D100" s="231">
        <v>544.54000000000008</v>
      </c>
      <c r="E100" s="231">
        <v>545.74</v>
      </c>
      <c r="F100" s="231">
        <v>410.19044450000001</v>
      </c>
      <c r="G100" s="231">
        <v>476.47254801999998</v>
      </c>
      <c r="H100" s="231">
        <v>698.25917602996253</v>
      </c>
      <c r="I100" s="231">
        <v>698.25917602996253</v>
      </c>
      <c r="J100" s="21">
        <v>89</v>
      </c>
      <c r="K100" s="236">
        <v>2.5999999999999998E-4</v>
      </c>
      <c r="L100" s="235">
        <f t="shared" si="1"/>
        <v>2.5999999999999998E-4</v>
      </c>
      <c r="N100" s="95">
        <v>299</v>
      </c>
      <c r="O100" s="169">
        <v>0.51500000000000001</v>
      </c>
      <c r="Q100" s="95">
        <v>353</v>
      </c>
      <c r="R100" s="98">
        <v>71.8</v>
      </c>
      <c r="T100" s="231">
        <v>541.09498899999994</v>
      </c>
      <c r="U100" s="21">
        <v>45</v>
      </c>
      <c r="V100" s="17">
        <v>2.7999999999999998E-4</v>
      </c>
      <c r="W100" s="234"/>
      <c r="X100" s="18">
        <v>698.24011327385836</v>
      </c>
      <c r="Y100" s="21">
        <v>89</v>
      </c>
      <c r="Z100" s="236">
        <v>2.5999999999999998E-4</v>
      </c>
    </row>
    <row r="101" spans="1:26" ht="17.25" thickBot="1">
      <c r="A101" s="231">
        <v>541.647828</v>
      </c>
      <c r="B101" s="231">
        <v>339.63190300000002</v>
      </c>
      <c r="C101" s="231">
        <v>499.00729899999999</v>
      </c>
      <c r="D101" s="231">
        <v>544.88</v>
      </c>
      <c r="E101" s="231">
        <v>546.07999999999993</v>
      </c>
      <c r="F101" s="231">
        <v>410.19065769999997</v>
      </c>
      <c r="G101" s="231">
        <v>476.67902902999998</v>
      </c>
      <c r="H101" s="231">
        <v>698.66292134831451</v>
      </c>
      <c r="I101" s="231">
        <v>698.66292134831451</v>
      </c>
      <c r="J101" s="21">
        <v>58</v>
      </c>
      <c r="K101" s="236">
        <v>1.7000000000000001E-4</v>
      </c>
      <c r="L101" s="235">
        <f t="shared" si="1"/>
        <v>1.7000000000000001E-4</v>
      </c>
      <c r="N101" s="95">
        <v>300</v>
      </c>
      <c r="O101" s="169">
        <v>0.51</v>
      </c>
      <c r="Q101" s="95">
        <v>354</v>
      </c>
      <c r="R101" s="98">
        <v>71.5</v>
      </c>
      <c r="T101" s="231">
        <v>541.20391100000006</v>
      </c>
      <c r="U101" s="21">
        <v>30</v>
      </c>
      <c r="V101" s="17">
        <v>1.9000000000000001E-4</v>
      </c>
      <c r="W101" s="234"/>
      <c r="X101" s="18">
        <v>698.62759747604423</v>
      </c>
      <c r="Y101" s="21">
        <v>58</v>
      </c>
      <c r="Z101" s="236">
        <v>1.7000000000000001E-4</v>
      </c>
    </row>
    <row r="102" spans="1:26" ht="17.25" thickBot="1">
      <c r="A102" s="231">
        <v>542.76229899999998</v>
      </c>
      <c r="B102" s="231">
        <v>339.73186000000004</v>
      </c>
      <c r="C102" s="231">
        <v>499.03802000000002</v>
      </c>
      <c r="D102" s="231">
        <v>545.02</v>
      </c>
      <c r="E102" s="231">
        <v>546.21999999999991</v>
      </c>
      <c r="F102" s="231">
        <v>410.19086420000002</v>
      </c>
      <c r="G102" s="231">
        <v>476.72806859999997</v>
      </c>
      <c r="H102" s="231">
        <v>698.89887640449433</v>
      </c>
      <c r="I102" s="231">
        <v>698.89887640449433</v>
      </c>
      <c r="J102" s="21">
        <v>27</v>
      </c>
      <c r="K102" s="236">
        <v>8.0000000000000007E-5</v>
      </c>
      <c r="L102" s="235">
        <f t="shared" si="1"/>
        <v>8.0000000000000007E-5</v>
      </c>
      <c r="N102" s="95">
        <v>301</v>
      </c>
      <c r="O102" s="169">
        <v>0.505</v>
      </c>
      <c r="Q102" s="95">
        <v>355</v>
      </c>
      <c r="R102" s="98">
        <v>71.099999999999994</v>
      </c>
      <c r="T102" s="231">
        <v>542.09704399999998</v>
      </c>
      <c r="U102" s="21">
        <v>15</v>
      </c>
      <c r="V102" s="17">
        <v>9.0000000000000006E-5</v>
      </c>
      <c r="W102" s="234"/>
      <c r="X102" s="18">
        <v>699.01569357823018</v>
      </c>
      <c r="Y102" s="21">
        <v>27</v>
      </c>
      <c r="Z102" s="236">
        <v>8.0000000000000007E-5</v>
      </c>
    </row>
    <row r="103" spans="1:26">
      <c r="N103" s="95">
        <v>302</v>
      </c>
      <c r="O103" s="169">
        <v>0.495</v>
      </c>
      <c r="Q103" s="95">
        <v>356</v>
      </c>
      <c r="R103" s="98">
        <v>70.7</v>
      </c>
    </row>
    <row r="104" spans="1:26">
      <c r="N104" s="95">
        <v>303</v>
      </c>
      <c r="O104" s="169">
        <v>0.49</v>
      </c>
      <c r="Q104" s="95">
        <v>357</v>
      </c>
      <c r="R104" s="98">
        <v>70.400000000000006</v>
      </c>
    </row>
    <row r="105" spans="1:26">
      <c r="N105" s="95">
        <v>304</v>
      </c>
      <c r="O105" s="169">
        <v>0.48499999999999999</v>
      </c>
      <c r="Q105" s="95">
        <v>358</v>
      </c>
      <c r="R105" s="98">
        <v>70</v>
      </c>
    </row>
    <row r="106" spans="1:26">
      <c r="N106" s="95">
        <v>305</v>
      </c>
      <c r="O106" s="169">
        <v>0.48</v>
      </c>
      <c r="Q106" s="95">
        <v>359</v>
      </c>
      <c r="R106" s="98">
        <v>69.7</v>
      </c>
    </row>
    <row r="107" spans="1:26">
      <c r="N107" s="95">
        <v>306</v>
      </c>
      <c r="O107" s="169">
        <v>0.47</v>
      </c>
      <c r="Q107" s="95">
        <v>360</v>
      </c>
      <c r="R107" s="98">
        <v>69.3</v>
      </c>
    </row>
    <row r="108" spans="1:26">
      <c r="N108" s="95">
        <v>307</v>
      </c>
      <c r="O108" s="169">
        <v>0.46500000000000002</v>
      </c>
      <c r="Q108" s="95">
        <v>361</v>
      </c>
      <c r="R108" s="98">
        <v>69</v>
      </c>
    </row>
    <row r="109" spans="1:26">
      <c r="N109" s="95">
        <v>308</v>
      </c>
      <c r="O109" s="169">
        <v>0.46</v>
      </c>
      <c r="Q109" s="95">
        <v>362</v>
      </c>
      <c r="R109" s="98">
        <v>68.599999999999994</v>
      </c>
    </row>
    <row r="110" spans="1:26">
      <c r="N110" s="95">
        <v>309</v>
      </c>
      <c r="O110" s="169">
        <v>0.45500000000000002</v>
      </c>
      <c r="Q110" s="95">
        <v>363</v>
      </c>
      <c r="R110" s="98">
        <v>68.3</v>
      </c>
    </row>
    <row r="111" spans="1:26">
      <c r="N111" s="95">
        <v>310</v>
      </c>
      <c r="O111" s="169">
        <v>0.45</v>
      </c>
      <c r="Q111" s="95">
        <v>364</v>
      </c>
      <c r="R111" s="98">
        <v>67.900000000000006</v>
      </c>
    </row>
    <row r="112" spans="1:26">
      <c r="N112" s="95">
        <v>311</v>
      </c>
      <c r="O112" s="169">
        <v>0.44</v>
      </c>
      <c r="Q112" s="95">
        <v>365</v>
      </c>
      <c r="R112" s="98">
        <v>67.5</v>
      </c>
    </row>
    <row r="113" spans="14:18">
      <c r="N113" s="95">
        <v>312</v>
      </c>
      <c r="O113" s="169">
        <v>0.435</v>
      </c>
      <c r="Q113" s="95">
        <v>366</v>
      </c>
      <c r="R113" s="98">
        <v>67.099999999999994</v>
      </c>
    </row>
    <row r="114" spans="14:18">
      <c r="N114" s="95">
        <v>313</v>
      </c>
      <c r="O114" s="169">
        <v>0.43</v>
      </c>
      <c r="Q114" s="95">
        <v>367</v>
      </c>
      <c r="R114" s="98">
        <v>66.7</v>
      </c>
    </row>
    <row r="115" spans="14:18">
      <c r="N115" s="95">
        <v>314</v>
      </c>
      <c r="O115" s="169">
        <v>0.42</v>
      </c>
      <c r="Q115" s="95">
        <v>368</v>
      </c>
      <c r="R115" s="98">
        <v>66.400000000000006</v>
      </c>
    </row>
    <row r="116" spans="14:18">
      <c r="N116" s="95">
        <v>315</v>
      </c>
      <c r="O116" s="169">
        <v>0.41499999999999998</v>
      </c>
      <c r="Q116" s="95">
        <v>369</v>
      </c>
      <c r="R116" s="98">
        <v>66</v>
      </c>
    </row>
    <row r="117" spans="14:18">
      <c r="N117" s="95">
        <v>316</v>
      </c>
      <c r="O117" s="169">
        <v>0.40500000000000003</v>
      </c>
      <c r="Q117" s="95">
        <v>370</v>
      </c>
      <c r="R117" s="98">
        <v>65.599999999999994</v>
      </c>
    </row>
    <row r="118" spans="14:18">
      <c r="N118" s="95">
        <v>317</v>
      </c>
      <c r="O118" s="169">
        <v>0.4</v>
      </c>
      <c r="Q118" s="95">
        <v>371</v>
      </c>
      <c r="R118" s="98">
        <v>65.2</v>
      </c>
    </row>
    <row r="119" spans="14:18">
      <c r="N119" s="95">
        <v>318</v>
      </c>
      <c r="O119" s="169">
        <v>0.39</v>
      </c>
      <c r="Q119" s="95">
        <v>372</v>
      </c>
      <c r="R119" s="98">
        <v>64.900000000000006</v>
      </c>
    </row>
    <row r="120" spans="14:18">
      <c r="N120" s="95">
        <v>319</v>
      </c>
      <c r="O120" s="169">
        <v>0.38500000000000001</v>
      </c>
      <c r="Q120" s="95">
        <v>373</v>
      </c>
      <c r="R120" s="98">
        <v>64.5</v>
      </c>
    </row>
    <row r="121" spans="14:18">
      <c r="N121" s="95">
        <v>320</v>
      </c>
      <c r="O121" s="169">
        <v>0.38</v>
      </c>
      <c r="Q121" s="95">
        <v>374</v>
      </c>
      <c r="R121" s="98">
        <v>64.099999999999994</v>
      </c>
    </row>
    <row r="122" spans="14:18">
      <c r="N122" s="95">
        <v>321</v>
      </c>
      <c r="O122" s="169">
        <v>0.37</v>
      </c>
      <c r="Q122" s="95">
        <v>375</v>
      </c>
      <c r="R122" s="98">
        <v>63.7</v>
      </c>
    </row>
    <row r="123" spans="14:18">
      <c r="N123" s="95">
        <v>322</v>
      </c>
      <c r="O123" s="169">
        <v>0.36499999999999999</v>
      </c>
      <c r="Q123" s="95">
        <v>376</v>
      </c>
      <c r="R123" s="98">
        <v>63.4</v>
      </c>
    </row>
    <row r="124" spans="14:18">
      <c r="N124" s="95">
        <v>323</v>
      </c>
      <c r="O124" s="169">
        <v>0.36</v>
      </c>
      <c r="Q124" s="95">
        <v>377</v>
      </c>
      <c r="R124" s="98">
        <v>63</v>
      </c>
    </row>
    <row r="125" spans="14:18">
      <c r="N125" s="95">
        <v>324</v>
      </c>
      <c r="O125" s="169">
        <v>0.35</v>
      </c>
      <c r="Q125" s="95">
        <v>378</v>
      </c>
      <c r="R125" s="98">
        <v>62.6</v>
      </c>
    </row>
    <row r="126" spans="14:18">
      <c r="N126" s="95">
        <v>325</v>
      </c>
      <c r="O126" s="169">
        <v>0.34499999999999997</v>
      </c>
      <c r="Q126" s="95">
        <v>379</v>
      </c>
      <c r="R126" s="98">
        <v>62.2</v>
      </c>
    </row>
    <row r="127" spans="14:18">
      <c r="N127" s="95">
        <v>326</v>
      </c>
      <c r="O127" s="169">
        <v>0.34</v>
      </c>
      <c r="Q127" s="95">
        <v>380</v>
      </c>
      <c r="R127" s="98">
        <v>61.9</v>
      </c>
    </row>
    <row r="128" spans="14:18">
      <c r="N128" s="95">
        <v>327</v>
      </c>
      <c r="O128" s="169">
        <v>0.33500000000000002</v>
      </c>
      <c r="Q128" s="95">
        <v>381</v>
      </c>
      <c r="R128" s="98">
        <v>61.5</v>
      </c>
    </row>
    <row r="129" spans="14:18">
      <c r="N129" s="95">
        <v>328</v>
      </c>
      <c r="O129" s="169">
        <v>0.33</v>
      </c>
      <c r="Q129" s="95">
        <v>382</v>
      </c>
      <c r="R129" s="98">
        <v>61.1</v>
      </c>
    </row>
    <row r="130" spans="14:18">
      <c r="N130" s="95">
        <v>329</v>
      </c>
      <c r="O130" s="169">
        <v>0.32</v>
      </c>
      <c r="Q130" s="95">
        <v>383</v>
      </c>
      <c r="R130" s="98">
        <v>60.8</v>
      </c>
    </row>
    <row r="131" spans="14:18">
      <c r="N131" s="95">
        <v>330</v>
      </c>
      <c r="O131" s="169">
        <v>0.315</v>
      </c>
      <c r="Q131" s="95">
        <v>384</v>
      </c>
      <c r="R131" s="98">
        <v>60.4</v>
      </c>
    </row>
    <row r="132" spans="14:18">
      <c r="N132" s="95">
        <v>331</v>
      </c>
      <c r="O132" s="169">
        <v>0.31</v>
      </c>
      <c r="Q132" s="95">
        <v>385</v>
      </c>
      <c r="R132" s="98">
        <v>59.899999999999935</v>
      </c>
    </row>
    <row r="133" spans="14:18">
      <c r="N133" s="95">
        <v>332</v>
      </c>
      <c r="O133" s="169">
        <v>0.30499999999999999</v>
      </c>
      <c r="Q133" s="95">
        <v>386</v>
      </c>
      <c r="R133" s="98">
        <v>59.499999999999936</v>
      </c>
    </row>
    <row r="134" spans="14:18">
      <c r="N134" s="96">
        <v>333</v>
      </c>
      <c r="O134" s="169">
        <v>0.3</v>
      </c>
      <c r="Q134" s="95">
        <v>387</v>
      </c>
      <c r="R134" s="98">
        <v>59.099999999999937</v>
      </c>
    </row>
    <row r="135" spans="14:18">
      <c r="N135" s="95">
        <v>334</v>
      </c>
      <c r="O135" s="169">
        <v>0.28999999999999998</v>
      </c>
      <c r="Q135" s="95">
        <v>388</v>
      </c>
      <c r="R135" s="98">
        <v>58.699999999999939</v>
      </c>
    </row>
    <row r="136" spans="14:18">
      <c r="N136" s="95">
        <v>335</v>
      </c>
      <c r="O136" s="169">
        <v>0.28499999999999998</v>
      </c>
      <c r="Q136" s="95">
        <v>389</v>
      </c>
      <c r="R136" s="98">
        <v>58.29999999999994</v>
      </c>
    </row>
    <row r="137" spans="14:18">
      <c r="N137" s="96">
        <v>336</v>
      </c>
      <c r="O137" s="169">
        <v>0.28000000000000003</v>
      </c>
      <c r="Q137" s="95">
        <v>390</v>
      </c>
      <c r="R137" s="98">
        <v>57.899999999999942</v>
      </c>
    </row>
    <row r="138" spans="14:18">
      <c r="N138" s="95">
        <v>337</v>
      </c>
      <c r="O138" s="169">
        <v>0.27</v>
      </c>
      <c r="Q138" s="95">
        <v>391</v>
      </c>
      <c r="R138" s="98">
        <v>57.499999999999943</v>
      </c>
    </row>
    <row r="139" spans="14:18">
      <c r="N139" s="95">
        <v>338</v>
      </c>
      <c r="O139" s="169">
        <v>0.26</v>
      </c>
      <c r="Q139" s="95">
        <v>392</v>
      </c>
      <c r="R139" s="98">
        <v>57</v>
      </c>
    </row>
    <row r="140" spans="14:18">
      <c r="N140" s="95">
        <v>339</v>
      </c>
      <c r="O140" s="169">
        <v>0.255</v>
      </c>
      <c r="Q140" s="95">
        <v>393</v>
      </c>
      <c r="R140" s="98">
        <v>56.5</v>
      </c>
    </row>
    <row r="141" spans="14:18">
      <c r="N141" s="95">
        <v>340</v>
      </c>
      <c r="O141" s="169">
        <v>0.25</v>
      </c>
      <c r="Q141" s="95">
        <v>394</v>
      </c>
      <c r="R141" s="98">
        <v>56</v>
      </c>
    </row>
    <row r="142" spans="14:18">
      <c r="N142" s="95">
        <v>341</v>
      </c>
      <c r="O142" s="169">
        <v>0.245</v>
      </c>
      <c r="Q142" s="95">
        <v>395</v>
      </c>
      <c r="R142" s="98">
        <v>55.5</v>
      </c>
    </row>
    <row r="143" spans="14:18">
      <c r="N143" s="95">
        <v>342</v>
      </c>
      <c r="O143" s="169">
        <v>0.24</v>
      </c>
      <c r="Q143" s="95">
        <v>396</v>
      </c>
      <c r="R143" s="98">
        <v>55</v>
      </c>
    </row>
    <row r="144" spans="14:18">
      <c r="N144" s="95">
        <v>343</v>
      </c>
      <c r="O144" s="169">
        <v>0.23</v>
      </c>
      <c r="Q144" s="95">
        <v>397</v>
      </c>
      <c r="R144" s="98">
        <v>54.5</v>
      </c>
    </row>
    <row r="145" spans="14:18">
      <c r="N145" s="95">
        <v>344</v>
      </c>
      <c r="O145" s="169">
        <v>0.22500000000000001</v>
      </c>
      <c r="Q145" s="95">
        <v>398</v>
      </c>
      <c r="R145" s="98">
        <v>54</v>
      </c>
    </row>
    <row r="146" spans="14:18">
      <c r="N146" s="95">
        <v>345</v>
      </c>
      <c r="O146" s="169">
        <v>0.22</v>
      </c>
      <c r="Q146" s="95">
        <v>399</v>
      </c>
      <c r="R146" s="98">
        <v>53.5</v>
      </c>
    </row>
    <row r="147" spans="14:18">
      <c r="N147" s="96">
        <v>346</v>
      </c>
      <c r="O147" s="169">
        <v>0.217</v>
      </c>
      <c r="Q147" s="95">
        <v>400</v>
      </c>
      <c r="R147" s="98">
        <v>53</v>
      </c>
    </row>
    <row r="148" spans="14:18">
      <c r="N148" s="95">
        <v>347</v>
      </c>
      <c r="O148" s="169">
        <v>0.21299999999999999</v>
      </c>
      <c r="Q148" s="95">
        <v>401</v>
      </c>
      <c r="R148" s="98">
        <v>52.5</v>
      </c>
    </row>
    <row r="149" spans="14:18">
      <c r="N149" s="96">
        <v>348</v>
      </c>
      <c r="O149" s="169">
        <v>0.20499999999999999</v>
      </c>
      <c r="Q149" s="95">
        <v>402</v>
      </c>
      <c r="R149" s="98">
        <v>52</v>
      </c>
    </row>
    <row r="150" spans="14:18">
      <c r="N150" s="95">
        <v>349</v>
      </c>
      <c r="O150" s="169">
        <v>0.2</v>
      </c>
      <c r="Q150" s="95">
        <v>403</v>
      </c>
      <c r="R150" s="98">
        <v>51.5</v>
      </c>
    </row>
    <row r="151" spans="14:18">
      <c r="N151" s="95">
        <v>350</v>
      </c>
      <c r="O151" s="169">
        <v>0.19500000000000001</v>
      </c>
      <c r="Q151" s="95">
        <v>404</v>
      </c>
      <c r="R151" s="98">
        <v>51</v>
      </c>
    </row>
    <row r="152" spans="14:18">
      <c r="N152" s="95">
        <v>351</v>
      </c>
      <c r="O152" s="169">
        <v>0.19</v>
      </c>
      <c r="Q152" s="95">
        <v>405</v>
      </c>
      <c r="R152" s="98">
        <v>50.5</v>
      </c>
    </row>
    <row r="153" spans="14:18">
      <c r="N153" s="95">
        <v>352</v>
      </c>
      <c r="O153" s="169">
        <v>0.185</v>
      </c>
      <c r="Q153" s="95">
        <v>406</v>
      </c>
      <c r="R153" s="98">
        <v>50</v>
      </c>
    </row>
    <row r="154" spans="14:18">
      <c r="N154" s="95">
        <v>353</v>
      </c>
      <c r="O154" s="169">
        <v>0.17699999999999999</v>
      </c>
      <c r="Q154" s="95">
        <v>407</v>
      </c>
      <c r="R154" s="98">
        <v>49.5</v>
      </c>
    </row>
    <row r="155" spans="14:18">
      <c r="N155" s="95">
        <v>354</v>
      </c>
      <c r="O155" s="169">
        <v>0.17300000000000001</v>
      </c>
      <c r="Q155" s="95">
        <v>408</v>
      </c>
      <c r="R155" s="98">
        <v>49</v>
      </c>
    </row>
    <row r="156" spans="14:18">
      <c r="N156" s="95">
        <v>355</v>
      </c>
      <c r="O156" s="169">
        <v>0.17</v>
      </c>
      <c r="Q156" s="95">
        <v>409</v>
      </c>
      <c r="R156" s="98">
        <v>48.5</v>
      </c>
    </row>
    <row r="157" spans="14:18">
      <c r="N157" s="95">
        <v>356</v>
      </c>
      <c r="O157" s="169">
        <v>0.16300000000000001</v>
      </c>
      <c r="Q157" s="95">
        <v>410</v>
      </c>
      <c r="R157" s="98">
        <v>48</v>
      </c>
    </row>
    <row r="158" spans="14:18">
      <c r="N158" s="95">
        <v>358</v>
      </c>
      <c r="O158" s="169">
        <v>0.16</v>
      </c>
      <c r="Q158" s="95">
        <v>411</v>
      </c>
      <c r="R158" s="98">
        <v>47.5</v>
      </c>
    </row>
    <row r="159" spans="14:18">
      <c r="N159" s="95">
        <v>359</v>
      </c>
      <c r="O159" s="169">
        <v>0.153</v>
      </c>
      <c r="Q159" s="95">
        <v>412</v>
      </c>
      <c r="R159" s="98">
        <v>47</v>
      </c>
    </row>
    <row r="160" spans="14:18">
      <c r="N160" s="95">
        <v>360</v>
      </c>
      <c r="O160" s="169">
        <v>0.15</v>
      </c>
      <c r="Q160" s="95">
        <v>413</v>
      </c>
      <c r="R160" s="98">
        <v>46.5</v>
      </c>
    </row>
    <row r="161" spans="14:18">
      <c r="N161" s="95">
        <v>361</v>
      </c>
      <c r="O161" s="169">
        <v>0.14699999999999999</v>
      </c>
      <c r="Q161" s="95">
        <v>414</v>
      </c>
      <c r="R161" s="98">
        <v>46</v>
      </c>
    </row>
    <row r="162" spans="14:18">
      <c r="N162" s="95">
        <v>362</v>
      </c>
      <c r="O162" s="169">
        <v>0.14300000000000002</v>
      </c>
      <c r="Q162" s="95">
        <v>415</v>
      </c>
      <c r="R162" s="98">
        <v>45.5</v>
      </c>
    </row>
    <row r="163" spans="14:18">
      <c r="N163" s="95">
        <v>363</v>
      </c>
      <c r="O163" s="169">
        <v>0.14000000000000001</v>
      </c>
      <c r="Q163" s="95">
        <v>416</v>
      </c>
      <c r="R163" s="98">
        <v>45</v>
      </c>
    </row>
    <row r="164" spans="14:18">
      <c r="N164" s="95">
        <v>364</v>
      </c>
      <c r="O164" s="169">
        <v>0.13699999999999998</v>
      </c>
      <c r="Q164" s="95">
        <v>417</v>
      </c>
      <c r="R164" s="98">
        <v>44.5</v>
      </c>
    </row>
    <row r="165" spans="14:18">
      <c r="N165" s="95">
        <v>365</v>
      </c>
      <c r="O165" s="169">
        <v>0.13300000000000001</v>
      </c>
      <c r="Q165" s="95">
        <v>418</v>
      </c>
      <c r="R165" s="98">
        <v>44</v>
      </c>
    </row>
    <row r="166" spans="14:18">
      <c r="N166" s="95">
        <v>366</v>
      </c>
      <c r="O166" s="169">
        <v>0.127</v>
      </c>
      <c r="Q166" s="95">
        <v>419</v>
      </c>
      <c r="R166" s="98">
        <v>43.5</v>
      </c>
    </row>
    <row r="167" spans="14:18">
      <c r="N167" s="95">
        <v>367</v>
      </c>
      <c r="O167" s="169">
        <v>0.12300000000000001</v>
      </c>
      <c r="Q167" s="95">
        <v>420</v>
      </c>
      <c r="R167" s="98">
        <v>43</v>
      </c>
    </row>
    <row r="168" spans="14:18">
      <c r="N168" s="96">
        <v>368</v>
      </c>
      <c r="O168" s="169">
        <v>0.11699999999999999</v>
      </c>
      <c r="Q168" s="95">
        <v>421</v>
      </c>
      <c r="R168" s="98">
        <v>42.5</v>
      </c>
    </row>
    <row r="169" spans="14:18">
      <c r="N169" s="95">
        <v>369</v>
      </c>
      <c r="O169" s="169">
        <v>0.113</v>
      </c>
      <c r="Q169" s="95">
        <v>422</v>
      </c>
      <c r="R169" s="98">
        <v>42</v>
      </c>
    </row>
    <row r="170" spans="14:18">
      <c r="N170" s="95">
        <v>370</v>
      </c>
      <c r="O170" s="169">
        <v>0.11</v>
      </c>
      <c r="Q170" s="95">
        <v>423</v>
      </c>
      <c r="R170" s="98">
        <v>41.5</v>
      </c>
    </row>
    <row r="171" spans="14:18">
      <c r="N171" s="95">
        <v>371</v>
      </c>
      <c r="O171" s="169">
        <v>0.10300000000000001</v>
      </c>
      <c r="Q171" s="95">
        <v>424</v>
      </c>
      <c r="R171" s="98">
        <v>41</v>
      </c>
    </row>
    <row r="172" spans="14:18">
      <c r="N172" s="95">
        <v>372</v>
      </c>
      <c r="O172" s="169">
        <v>0.1</v>
      </c>
      <c r="Q172" s="95">
        <v>425</v>
      </c>
      <c r="R172" s="98">
        <v>40.5</v>
      </c>
    </row>
    <row r="173" spans="14:18">
      <c r="N173" s="95">
        <v>373</v>
      </c>
      <c r="O173" s="169">
        <v>9.6999999999999989E-2</v>
      </c>
      <c r="Q173" s="95">
        <v>426</v>
      </c>
      <c r="R173" s="98">
        <v>40</v>
      </c>
    </row>
    <row r="174" spans="14:18">
      <c r="N174" s="95">
        <v>374</v>
      </c>
      <c r="O174" s="169">
        <v>9.3000000000000013E-2</v>
      </c>
      <c r="Q174" s="95">
        <v>427</v>
      </c>
      <c r="R174" s="98">
        <v>39.5</v>
      </c>
    </row>
    <row r="175" spans="14:18">
      <c r="N175" s="95">
        <v>375</v>
      </c>
      <c r="O175" s="169">
        <v>8.6999999999999994E-2</v>
      </c>
      <c r="Q175" s="95">
        <v>428</v>
      </c>
      <c r="R175" s="98">
        <v>39</v>
      </c>
    </row>
    <row r="176" spans="14:18">
      <c r="N176" s="95">
        <v>376</v>
      </c>
      <c r="O176" s="169">
        <v>8.3000000000000004E-2</v>
      </c>
      <c r="Q176" s="95">
        <v>429</v>
      </c>
      <c r="R176" s="98">
        <v>38.5</v>
      </c>
    </row>
    <row r="177" spans="14:18">
      <c r="N177" s="95">
        <v>377</v>
      </c>
      <c r="O177" s="169">
        <v>0.08</v>
      </c>
      <c r="Q177" s="95">
        <v>430</v>
      </c>
      <c r="R177" s="98">
        <v>38</v>
      </c>
    </row>
    <row r="178" spans="14:18">
      <c r="N178" s="95">
        <v>378</v>
      </c>
      <c r="O178" s="169">
        <v>7.2999999999999995E-2</v>
      </c>
      <c r="Q178" s="95">
        <v>431</v>
      </c>
      <c r="R178" s="98">
        <v>37.5</v>
      </c>
    </row>
    <row r="179" spans="14:18">
      <c r="N179" s="95">
        <v>379</v>
      </c>
      <c r="O179" s="169">
        <v>7.0000000000000007E-2</v>
      </c>
      <c r="Q179" s="95">
        <v>432</v>
      </c>
      <c r="R179" s="98">
        <v>37</v>
      </c>
    </row>
    <row r="180" spans="14:18">
      <c r="N180" s="95">
        <v>380</v>
      </c>
      <c r="O180" s="169">
        <v>6.7000000000000004E-2</v>
      </c>
      <c r="Q180" s="95">
        <v>433</v>
      </c>
      <c r="R180" s="98">
        <v>36.5</v>
      </c>
    </row>
    <row r="181" spans="14:18">
      <c r="N181" s="95">
        <v>381</v>
      </c>
      <c r="O181" s="169">
        <v>6.3E-2</v>
      </c>
      <c r="Q181" s="95">
        <v>434</v>
      </c>
      <c r="R181" s="98">
        <v>36</v>
      </c>
    </row>
    <row r="182" spans="14:18">
      <c r="N182" s="95">
        <v>382</v>
      </c>
      <c r="O182" s="169">
        <v>0.06</v>
      </c>
      <c r="Q182" s="95">
        <v>435</v>
      </c>
      <c r="R182" s="98">
        <v>35.5</v>
      </c>
    </row>
    <row r="183" spans="14:18">
      <c r="N183" s="95">
        <v>383</v>
      </c>
      <c r="O183" s="169">
        <v>5.2999999999999999E-2</v>
      </c>
      <c r="Q183" s="95">
        <v>436</v>
      </c>
      <c r="R183" s="98">
        <v>35</v>
      </c>
    </row>
    <row r="184" spans="14:18">
      <c r="N184" s="95">
        <v>384</v>
      </c>
      <c r="O184" s="169">
        <v>0.05</v>
      </c>
      <c r="Q184" s="95">
        <v>437</v>
      </c>
      <c r="R184" s="98">
        <v>34.5</v>
      </c>
    </row>
    <row r="185" spans="14:18">
      <c r="N185" s="95">
        <v>385</v>
      </c>
      <c r="O185" s="169">
        <v>4.7E-2</v>
      </c>
      <c r="Q185" s="95">
        <v>438</v>
      </c>
      <c r="R185" s="98">
        <v>34</v>
      </c>
    </row>
    <row r="186" spans="14:18">
      <c r="N186" s="95">
        <v>386</v>
      </c>
      <c r="O186" s="169">
        <v>4.2999999999999997E-2</v>
      </c>
      <c r="Q186" s="95">
        <v>439</v>
      </c>
      <c r="R186" s="98">
        <v>33.5</v>
      </c>
    </row>
    <row r="187" spans="14:18">
      <c r="N187" s="95">
        <v>387</v>
      </c>
      <c r="O187" s="169">
        <v>0.04</v>
      </c>
      <c r="Q187" s="95">
        <v>440</v>
      </c>
      <c r="R187" s="98">
        <v>33</v>
      </c>
    </row>
    <row r="188" spans="14:18">
      <c r="N188" s="95">
        <v>388</v>
      </c>
      <c r="O188" s="169">
        <v>3.7000000000000005E-2</v>
      </c>
      <c r="Q188" s="95">
        <v>441</v>
      </c>
      <c r="R188" s="98">
        <v>32.5</v>
      </c>
    </row>
    <row r="189" spans="14:18">
      <c r="N189" s="95">
        <v>389</v>
      </c>
      <c r="O189" s="169">
        <v>3.3000000000000002E-2</v>
      </c>
      <c r="Q189" s="95">
        <v>442</v>
      </c>
      <c r="R189" s="98">
        <v>32</v>
      </c>
    </row>
    <row r="190" spans="14:18">
      <c r="N190" s="95">
        <v>390</v>
      </c>
      <c r="O190" s="169">
        <v>0.03</v>
      </c>
      <c r="Q190" s="95">
        <v>443</v>
      </c>
      <c r="R190" s="98">
        <v>31.5</v>
      </c>
    </row>
    <row r="191" spans="14:18">
      <c r="N191" s="95">
        <v>391</v>
      </c>
      <c r="O191" s="169">
        <v>2.7000000000000003E-2</v>
      </c>
      <c r="Q191" s="95">
        <v>444</v>
      </c>
      <c r="R191" s="98">
        <v>31</v>
      </c>
    </row>
    <row r="192" spans="14:18">
      <c r="N192" s="95">
        <v>392</v>
      </c>
      <c r="O192" s="169">
        <v>2.5000000000000001E-2</v>
      </c>
      <c r="Q192" s="95">
        <v>445</v>
      </c>
      <c r="R192" s="98">
        <v>30.5</v>
      </c>
    </row>
    <row r="193" spans="14:18">
      <c r="N193" s="95">
        <v>393</v>
      </c>
      <c r="O193" s="169">
        <v>2.3E-2</v>
      </c>
      <c r="Q193" s="95">
        <v>446</v>
      </c>
      <c r="R193" s="98">
        <v>30</v>
      </c>
    </row>
    <row r="194" spans="14:18">
      <c r="N194" s="95">
        <v>394</v>
      </c>
      <c r="O194" s="169">
        <v>1.8000000000000002E-2</v>
      </c>
      <c r="Q194" s="95">
        <v>447</v>
      </c>
      <c r="R194" s="98">
        <v>29.5</v>
      </c>
    </row>
    <row r="195" spans="14:18">
      <c r="N195" s="95">
        <v>395</v>
      </c>
      <c r="O195" s="169">
        <v>1.6E-2</v>
      </c>
      <c r="Q195" s="95">
        <v>448</v>
      </c>
      <c r="R195" s="98">
        <v>29</v>
      </c>
    </row>
    <row r="196" spans="14:18">
      <c r="N196" s="95">
        <v>396</v>
      </c>
      <c r="O196" s="169">
        <v>1.3999999999999999E-2</v>
      </c>
      <c r="Q196" s="95">
        <v>449</v>
      </c>
      <c r="R196" s="98">
        <v>28.5</v>
      </c>
    </row>
    <row r="197" spans="14:18">
      <c r="N197" s="95">
        <v>397</v>
      </c>
      <c r="O197" s="169">
        <v>0.01</v>
      </c>
      <c r="Q197" s="95">
        <v>450</v>
      </c>
      <c r="R197" s="98">
        <v>28</v>
      </c>
    </row>
    <row r="198" spans="14:18">
      <c r="N198" s="95">
        <v>398</v>
      </c>
      <c r="O198" s="169">
        <v>8.0000000000000002E-3</v>
      </c>
      <c r="Q198" s="95">
        <v>451</v>
      </c>
      <c r="R198" s="98">
        <v>27.5</v>
      </c>
    </row>
    <row r="199" spans="14:18">
      <c r="N199" s="95">
        <v>399</v>
      </c>
      <c r="O199" s="169">
        <v>6.0000000000000001E-3</v>
      </c>
      <c r="Q199" s="95">
        <v>452</v>
      </c>
      <c r="R199" s="98">
        <v>27</v>
      </c>
    </row>
    <row r="200" spans="14:18">
      <c r="N200" s="95">
        <v>400</v>
      </c>
      <c r="O200" s="169">
        <v>5.0000000000000001E-3</v>
      </c>
      <c r="Q200" s="95">
        <v>453</v>
      </c>
      <c r="R200" s="98">
        <v>26.5</v>
      </c>
    </row>
    <row r="201" spans="14:18">
      <c r="N201" s="95">
        <v>401</v>
      </c>
      <c r="O201" s="169">
        <v>4.0000000000000001E-3</v>
      </c>
      <c r="Q201" s="95">
        <v>454</v>
      </c>
      <c r="R201" s="98">
        <v>26</v>
      </c>
    </row>
    <row r="202" spans="14:18">
      <c r="N202" s="95">
        <v>402</v>
      </c>
      <c r="O202" s="169">
        <v>3.0000000000000001E-3</v>
      </c>
      <c r="Q202" s="95">
        <v>455</v>
      </c>
      <c r="R202" s="98">
        <v>25.5</v>
      </c>
    </row>
    <row r="203" spans="14:18">
      <c r="N203" s="95">
        <v>403</v>
      </c>
      <c r="O203" s="169">
        <v>2.7000000000000001E-3</v>
      </c>
      <c r="Q203" s="95">
        <v>456</v>
      </c>
      <c r="R203" s="98">
        <v>25</v>
      </c>
    </row>
    <row r="204" spans="14:18">
      <c r="N204" s="95">
        <v>404</v>
      </c>
      <c r="O204" s="169">
        <v>2.3E-3</v>
      </c>
      <c r="Q204" s="95">
        <v>457</v>
      </c>
      <c r="R204" s="98">
        <v>24.5</v>
      </c>
    </row>
    <row r="205" spans="14:18">
      <c r="N205" s="95">
        <v>405</v>
      </c>
      <c r="O205" s="169">
        <v>2E-3</v>
      </c>
      <c r="Q205" s="95">
        <v>458</v>
      </c>
      <c r="R205" s="98">
        <v>24</v>
      </c>
    </row>
    <row r="206" spans="14:18">
      <c r="N206" s="95">
        <v>406</v>
      </c>
      <c r="O206" s="169">
        <v>1.2999999999999999E-3</v>
      </c>
      <c r="Q206" s="95">
        <v>459</v>
      </c>
      <c r="R206" s="98">
        <v>23.5</v>
      </c>
    </row>
    <row r="207" spans="14:18">
      <c r="N207" s="95">
        <v>407</v>
      </c>
      <c r="O207" s="169">
        <v>1E-3</v>
      </c>
      <c r="Q207" s="95">
        <v>460</v>
      </c>
      <c r="R207" s="98">
        <v>23</v>
      </c>
    </row>
    <row r="208" spans="14:18">
      <c r="N208" s="95">
        <v>408</v>
      </c>
      <c r="O208" s="169">
        <v>7.000000000000001E-4</v>
      </c>
      <c r="Q208" s="95">
        <v>461</v>
      </c>
      <c r="R208" s="98">
        <v>22.5</v>
      </c>
    </row>
    <row r="209" spans="14:18">
      <c r="N209" s="95">
        <v>410</v>
      </c>
      <c r="O209" s="169">
        <v>5.0000000000000001E-4</v>
      </c>
      <c r="Q209" s="95">
        <v>462</v>
      </c>
      <c r="R209" s="98">
        <v>22</v>
      </c>
    </row>
    <row r="210" spans="14:18">
      <c r="Q210" s="95">
        <v>463</v>
      </c>
      <c r="R210" s="98">
        <v>21.7</v>
      </c>
    </row>
    <row r="211" spans="14:18">
      <c r="N211"/>
      <c r="O211"/>
      <c r="Q211" s="95">
        <v>464</v>
      </c>
      <c r="R211" s="98">
        <v>21.3</v>
      </c>
    </row>
    <row r="212" spans="14:18">
      <c r="N212"/>
      <c r="O212"/>
      <c r="Q212" s="95">
        <v>465</v>
      </c>
      <c r="R212" s="98">
        <v>21</v>
      </c>
    </row>
    <row r="213" spans="14:18">
      <c r="N213"/>
      <c r="O213"/>
      <c r="Q213" s="95">
        <v>466</v>
      </c>
      <c r="R213" s="98">
        <v>20.5</v>
      </c>
    </row>
    <row r="214" spans="14:18">
      <c r="N214"/>
      <c r="O214"/>
      <c r="Q214" s="95">
        <v>467</v>
      </c>
      <c r="R214" s="98">
        <v>20</v>
      </c>
    </row>
    <row r="215" spans="14:18">
      <c r="N215"/>
      <c r="O215"/>
      <c r="Q215" s="95">
        <v>468</v>
      </c>
      <c r="R215" s="98">
        <v>19.5</v>
      </c>
    </row>
    <row r="216" spans="14:18">
      <c r="N216"/>
      <c r="O216"/>
      <c r="Q216" s="95">
        <v>469</v>
      </c>
      <c r="R216" s="98">
        <v>19</v>
      </c>
    </row>
    <row r="217" spans="14:18">
      <c r="N217"/>
      <c r="O217"/>
      <c r="Q217" s="95">
        <v>470</v>
      </c>
      <c r="R217" s="98">
        <v>18.5</v>
      </c>
    </row>
    <row r="218" spans="14:18">
      <c r="N218"/>
      <c r="O218"/>
      <c r="Q218" s="95">
        <v>471</v>
      </c>
      <c r="R218" s="98">
        <v>18</v>
      </c>
    </row>
    <row r="219" spans="14:18">
      <c r="N219"/>
      <c r="O219"/>
      <c r="Q219" s="95">
        <v>472</v>
      </c>
      <c r="R219" s="98">
        <v>17.7</v>
      </c>
    </row>
    <row r="220" spans="14:18">
      <c r="N220"/>
      <c r="O220"/>
      <c r="Q220" s="95">
        <v>473</v>
      </c>
      <c r="R220" s="98">
        <v>17.3</v>
      </c>
    </row>
    <row r="221" spans="14:18">
      <c r="N221"/>
      <c r="O221"/>
      <c r="Q221" s="95">
        <v>474</v>
      </c>
      <c r="R221" s="98">
        <v>17</v>
      </c>
    </row>
    <row r="222" spans="14:18">
      <c r="N222"/>
      <c r="O222"/>
      <c r="Q222" s="95">
        <v>475</v>
      </c>
      <c r="R222" s="98">
        <v>16.7</v>
      </c>
    </row>
    <row r="223" spans="14:18">
      <c r="N223"/>
      <c r="O223"/>
      <c r="Q223" s="95">
        <v>476</v>
      </c>
      <c r="R223" s="98">
        <v>16.3</v>
      </c>
    </row>
    <row r="224" spans="14:18">
      <c r="N224"/>
      <c r="O224"/>
      <c r="Q224" s="95">
        <v>477</v>
      </c>
      <c r="R224" s="98">
        <v>16</v>
      </c>
    </row>
    <row r="225" spans="14:18">
      <c r="N225"/>
      <c r="O225"/>
      <c r="Q225" s="95">
        <v>478</v>
      </c>
      <c r="R225" s="98">
        <v>15.7</v>
      </c>
    </row>
    <row r="226" spans="14:18">
      <c r="N226"/>
      <c r="O226"/>
      <c r="Q226" s="95">
        <v>479</v>
      </c>
      <c r="R226" s="98">
        <v>15.3</v>
      </c>
    </row>
    <row r="227" spans="14:18">
      <c r="N227"/>
      <c r="O227"/>
      <c r="Q227" s="95">
        <v>480</v>
      </c>
      <c r="R227" s="98">
        <v>15</v>
      </c>
    </row>
    <row r="228" spans="14:18">
      <c r="N228"/>
      <c r="O228"/>
      <c r="Q228" s="95">
        <v>481</v>
      </c>
      <c r="R228" s="98">
        <v>14.7</v>
      </c>
    </row>
    <row r="229" spans="14:18">
      <c r="N229"/>
      <c r="O229"/>
      <c r="Q229" s="95">
        <v>482</v>
      </c>
      <c r="R229" s="98">
        <v>14.3</v>
      </c>
    </row>
    <row r="230" spans="14:18">
      <c r="N230"/>
      <c r="O230"/>
      <c r="Q230" s="95">
        <v>483</v>
      </c>
      <c r="R230" s="98">
        <v>14</v>
      </c>
    </row>
    <row r="231" spans="14:18">
      <c r="N231"/>
      <c r="O231"/>
      <c r="Q231" s="95">
        <v>484</v>
      </c>
      <c r="R231" s="98">
        <v>13.7</v>
      </c>
    </row>
    <row r="232" spans="14:18">
      <c r="N232"/>
      <c r="O232"/>
      <c r="Q232" s="95">
        <v>485</v>
      </c>
      <c r="R232" s="98">
        <v>13.3</v>
      </c>
    </row>
    <row r="233" spans="14:18">
      <c r="N233"/>
      <c r="O233"/>
      <c r="Q233" s="95">
        <v>486</v>
      </c>
      <c r="R233" s="98">
        <v>13</v>
      </c>
    </row>
    <row r="234" spans="14:18">
      <c r="N234"/>
      <c r="O234"/>
      <c r="Q234" s="95">
        <v>487</v>
      </c>
      <c r="R234" s="98">
        <v>12.7</v>
      </c>
    </row>
    <row r="235" spans="14:18">
      <c r="N235"/>
      <c r="O235"/>
      <c r="Q235" s="95">
        <v>488</v>
      </c>
      <c r="R235" s="98">
        <v>12.3</v>
      </c>
    </row>
    <row r="236" spans="14:18">
      <c r="N236"/>
      <c r="O236"/>
      <c r="Q236" s="95">
        <v>489</v>
      </c>
      <c r="R236" s="98">
        <v>12</v>
      </c>
    </row>
    <row r="237" spans="14:18">
      <c r="N237"/>
      <c r="O237"/>
      <c r="Q237" s="95">
        <v>490</v>
      </c>
      <c r="R237" s="98">
        <v>11.7</v>
      </c>
    </row>
    <row r="238" spans="14:18">
      <c r="N238"/>
      <c r="O238"/>
      <c r="Q238" s="95">
        <v>491</v>
      </c>
      <c r="R238" s="98">
        <v>11.3</v>
      </c>
    </row>
    <row r="239" spans="14:18">
      <c r="N239"/>
      <c r="O239"/>
      <c r="Q239" s="95">
        <v>492</v>
      </c>
      <c r="R239" s="98">
        <v>11</v>
      </c>
    </row>
    <row r="240" spans="14:18">
      <c r="N240"/>
      <c r="O240"/>
      <c r="Q240" s="95">
        <v>493</v>
      </c>
      <c r="R240" s="98">
        <v>10.7</v>
      </c>
    </row>
    <row r="241" spans="14:18">
      <c r="N241"/>
      <c r="O241"/>
      <c r="Q241" s="95">
        <v>494</v>
      </c>
      <c r="R241" s="98">
        <v>10.3</v>
      </c>
    </row>
    <row r="242" spans="14:18">
      <c r="N242"/>
      <c r="O242"/>
      <c r="Q242" s="95">
        <v>495</v>
      </c>
      <c r="R242" s="98">
        <v>10</v>
      </c>
    </row>
    <row r="243" spans="14:18">
      <c r="N243"/>
      <c r="O243"/>
      <c r="Q243" s="95">
        <v>496</v>
      </c>
      <c r="R243" s="98">
        <v>9.6999999999999993</v>
      </c>
    </row>
    <row r="244" spans="14:18">
      <c r="N244"/>
      <c r="O244"/>
      <c r="Q244" s="95">
        <v>497</v>
      </c>
      <c r="R244" s="98">
        <v>9.3000000000000007</v>
      </c>
    </row>
    <row r="245" spans="14:18">
      <c r="N245"/>
      <c r="O245"/>
      <c r="Q245" s="95">
        <v>498</v>
      </c>
      <c r="R245" s="98">
        <v>9</v>
      </c>
    </row>
    <row r="246" spans="14:18">
      <c r="N246"/>
      <c r="O246"/>
      <c r="Q246" s="95">
        <v>499</v>
      </c>
      <c r="R246" s="98">
        <v>8.6999999999999993</v>
      </c>
    </row>
    <row r="247" spans="14:18">
      <c r="N247"/>
      <c r="O247"/>
      <c r="Q247" s="95">
        <v>500</v>
      </c>
      <c r="R247" s="98">
        <v>8.3000000000000007</v>
      </c>
    </row>
    <row r="248" spans="14:18">
      <c r="N248"/>
      <c r="O248"/>
      <c r="Q248" s="95">
        <v>501</v>
      </c>
      <c r="R248" s="98">
        <v>8</v>
      </c>
    </row>
    <row r="249" spans="14:18">
      <c r="N249"/>
      <c r="O249"/>
      <c r="Q249" s="95">
        <v>502</v>
      </c>
      <c r="R249" s="98">
        <v>7.7</v>
      </c>
    </row>
    <row r="250" spans="14:18">
      <c r="N250"/>
      <c r="O250"/>
      <c r="Q250" s="95">
        <v>503</v>
      </c>
      <c r="R250" s="98">
        <v>7.3</v>
      </c>
    </row>
    <row r="251" spans="14:18">
      <c r="N251"/>
      <c r="O251"/>
      <c r="Q251" s="95">
        <v>504</v>
      </c>
      <c r="R251" s="98">
        <v>7</v>
      </c>
    </row>
    <row r="252" spans="14:18">
      <c r="N252"/>
      <c r="O252"/>
      <c r="Q252" s="95">
        <v>505</v>
      </c>
      <c r="R252" s="98">
        <v>6.7</v>
      </c>
    </row>
    <row r="253" spans="14:18">
      <c r="N253"/>
      <c r="O253"/>
      <c r="Q253" s="95">
        <v>506</v>
      </c>
      <c r="R253" s="98">
        <v>6.3</v>
      </c>
    </row>
    <row r="254" spans="14:18">
      <c r="N254"/>
      <c r="O254"/>
      <c r="Q254" s="95">
        <v>507</v>
      </c>
      <c r="R254" s="98">
        <v>6</v>
      </c>
    </row>
    <row r="255" spans="14:18">
      <c r="N255"/>
      <c r="O255"/>
      <c r="Q255" s="95">
        <v>508</v>
      </c>
      <c r="R255" s="98">
        <v>5.7</v>
      </c>
    </row>
    <row r="256" spans="14:18">
      <c r="N256"/>
      <c r="O256"/>
      <c r="Q256" s="95">
        <v>509</v>
      </c>
      <c r="R256" s="98">
        <v>5.3</v>
      </c>
    </row>
    <row r="257" spans="14:18">
      <c r="N257"/>
      <c r="O257"/>
      <c r="Q257" s="95">
        <v>510</v>
      </c>
      <c r="R257" s="98">
        <v>5</v>
      </c>
    </row>
    <row r="258" spans="14:18">
      <c r="N258"/>
      <c r="O258"/>
      <c r="Q258" s="95">
        <v>511</v>
      </c>
      <c r="R258" s="98">
        <v>4.7</v>
      </c>
    </row>
    <row r="259" spans="14:18">
      <c r="N259"/>
      <c r="O259"/>
      <c r="Q259" s="95">
        <v>512</v>
      </c>
      <c r="R259" s="98">
        <v>4.3</v>
      </c>
    </row>
    <row r="260" spans="14:18">
      <c r="N260"/>
      <c r="O260"/>
      <c r="Q260" s="95">
        <v>513</v>
      </c>
      <c r="R260" s="98">
        <v>4</v>
      </c>
    </row>
    <row r="261" spans="14:18">
      <c r="N261"/>
      <c r="O261"/>
      <c r="Q261" s="95">
        <v>514</v>
      </c>
      <c r="R261" s="98">
        <v>3.7</v>
      </c>
    </row>
    <row r="262" spans="14:18">
      <c r="N262"/>
      <c r="O262"/>
      <c r="Q262" s="95">
        <v>515</v>
      </c>
      <c r="R262" s="98">
        <v>3.5</v>
      </c>
    </row>
    <row r="263" spans="14:18">
      <c r="N263"/>
      <c r="O263"/>
      <c r="Q263" s="95">
        <v>516</v>
      </c>
      <c r="R263" s="98">
        <v>3.3</v>
      </c>
    </row>
    <row r="264" spans="14:18">
      <c r="N264"/>
      <c r="O264"/>
      <c r="Q264" s="95">
        <v>517</v>
      </c>
      <c r="R264" s="98">
        <v>3</v>
      </c>
    </row>
    <row r="265" spans="14:18">
      <c r="N265"/>
      <c r="O265"/>
      <c r="Q265" s="95">
        <v>518</v>
      </c>
      <c r="R265" s="98">
        <v>2.7</v>
      </c>
    </row>
    <row r="266" spans="14:18">
      <c r="N266"/>
      <c r="O266"/>
      <c r="Q266" s="95">
        <v>519</v>
      </c>
      <c r="R266" s="98">
        <v>2.5</v>
      </c>
    </row>
    <row r="267" spans="14:18">
      <c r="N267"/>
      <c r="O267"/>
      <c r="Q267" s="95">
        <v>520</v>
      </c>
      <c r="R267" s="98">
        <v>2.2999999999999998</v>
      </c>
    </row>
    <row r="268" spans="14:18">
      <c r="N268"/>
      <c r="O268"/>
      <c r="Q268" s="95">
        <v>521</v>
      </c>
      <c r="R268" s="98">
        <v>2</v>
      </c>
    </row>
    <row r="269" spans="14:18">
      <c r="N269"/>
      <c r="O269"/>
      <c r="Q269" s="95">
        <v>522</v>
      </c>
      <c r="R269" s="98">
        <v>1.8</v>
      </c>
    </row>
    <row r="270" spans="14:18">
      <c r="N270"/>
      <c r="O270"/>
      <c r="Q270" s="95">
        <v>523</v>
      </c>
      <c r="R270" s="98">
        <v>1.6</v>
      </c>
    </row>
    <row r="271" spans="14:18">
      <c r="N271"/>
      <c r="O271"/>
      <c r="Q271" s="95">
        <v>524</v>
      </c>
      <c r="R271" s="98">
        <v>1.4</v>
      </c>
    </row>
    <row r="272" spans="14:18">
      <c r="N272"/>
      <c r="O272"/>
      <c r="Q272" s="95">
        <v>525</v>
      </c>
      <c r="R272" s="98">
        <v>1.2</v>
      </c>
    </row>
    <row r="273" spans="14:18">
      <c r="N273"/>
      <c r="O273"/>
      <c r="Q273" s="95">
        <v>526</v>
      </c>
      <c r="R273" s="98">
        <v>1</v>
      </c>
    </row>
    <row r="274" spans="14:18">
      <c r="N274"/>
      <c r="O274"/>
      <c r="Q274" s="95">
        <v>527</v>
      </c>
      <c r="R274" s="98">
        <v>0.8</v>
      </c>
    </row>
    <row r="275" spans="14:18">
      <c r="N275"/>
      <c r="O275"/>
      <c r="Q275" s="95">
        <v>528</v>
      </c>
      <c r="R275" s="98">
        <v>0.6</v>
      </c>
    </row>
    <row r="276" spans="14:18">
      <c r="N276"/>
      <c r="O276"/>
      <c r="Q276" s="95">
        <v>529</v>
      </c>
      <c r="R276" s="98">
        <v>0.5</v>
      </c>
    </row>
    <row r="277" spans="14:18">
      <c r="N277"/>
      <c r="O277"/>
      <c r="Q277" s="95">
        <v>530</v>
      </c>
      <c r="R277" s="98">
        <v>0.4</v>
      </c>
    </row>
    <row r="278" spans="14:18">
      <c r="N278"/>
      <c r="O278"/>
      <c r="Q278" s="95">
        <v>531</v>
      </c>
      <c r="R278" s="98">
        <v>0.3</v>
      </c>
    </row>
    <row r="279" spans="14:18">
      <c r="N279"/>
      <c r="O279"/>
      <c r="Q279" s="95">
        <v>532</v>
      </c>
      <c r="R279" s="98">
        <v>0.27</v>
      </c>
    </row>
    <row r="280" spans="14:18">
      <c r="N280"/>
      <c r="O280"/>
      <c r="Q280" s="95">
        <v>533</v>
      </c>
      <c r="R280" s="98">
        <v>0.23</v>
      </c>
    </row>
    <row r="281" spans="14:18">
      <c r="N281"/>
      <c r="O281"/>
      <c r="Q281" s="95">
        <v>534</v>
      </c>
      <c r="R281" s="98">
        <v>0.2</v>
      </c>
    </row>
    <row r="282" spans="14:18">
      <c r="N282"/>
      <c r="O282"/>
      <c r="Q282" s="95">
        <v>535</v>
      </c>
      <c r="R282" s="98">
        <v>0.16</v>
      </c>
    </row>
    <row r="283" spans="14:18">
      <c r="N283"/>
      <c r="O283"/>
      <c r="Q283" s="95">
        <v>536</v>
      </c>
      <c r="R283" s="98">
        <v>0.13</v>
      </c>
    </row>
    <row r="284" spans="14:18">
      <c r="N284"/>
      <c r="O284"/>
      <c r="Q284" s="95">
        <v>537</v>
      </c>
      <c r="R284" s="98">
        <v>0.1</v>
      </c>
    </row>
    <row r="285" spans="14:18">
      <c r="N285"/>
      <c r="O285"/>
      <c r="Q285" s="95">
        <v>538</v>
      </c>
      <c r="R285" s="98">
        <v>7.0000000000000007E-2</v>
      </c>
    </row>
    <row r="286" spans="14:18">
      <c r="N286"/>
      <c r="O286"/>
      <c r="Q286" s="95">
        <v>539</v>
      </c>
      <c r="R286" s="98">
        <v>0.05</v>
      </c>
    </row>
    <row r="287" spans="14:18">
      <c r="N287"/>
      <c r="O287"/>
      <c r="Q287" s="95">
        <v>540</v>
      </c>
      <c r="R287" s="98">
        <v>0.03</v>
      </c>
    </row>
    <row r="288" spans="14:18">
      <c r="N288"/>
      <c r="O288"/>
      <c r="Q288" s="95">
        <v>541</v>
      </c>
      <c r="R288" s="98">
        <v>0.01</v>
      </c>
    </row>
    <row r="289" spans="14:18">
      <c r="N289"/>
      <c r="O289"/>
      <c r="Q289" s="95">
        <v>542</v>
      </c>
      <c r="R289" s="98">
        <v>7.0000000000000001E-3</v>
      </c>
    </row>
    <row r="290" spans="14:18">
      <c r="N290"/>
      <c r="O290"/>
      <c r="Q290" s="95">
        <v>543</v>
      </c>
      <c r="R290" s="98">
        <v>5.0000000000000001E-3</v>
      </c>
    </row>
    <row r="291" spans="14:18">
      <c r="N291"/>
      <c r="O291"/>
    </row>
    <row r="292" spans="14:18">
      <c r="N292"/>
      <c r="O292"/>
      <c r="Q292"/>
      <c r="R292"/>
    </row>
    <row r="293" spans="14:18">
      <c r="N293"/>
      <c r="O293"/>
      <c r="Q293"/>
      <c r="R293"/>
    </row>
    <row r="294" spans="14:18">
      <c r="N294"/>
      <c r="O294"/>
      <c r="Q294"/>
      <c r="R294"/>
    </row>
    <row r="295" spans="14:18">
      <c r="N295"/>
      <c r="O295"/>
      <c r="Q295"/>
      <c r="R295"/>
    </row>
    <row r="296" spans="14:18">
      <c r="N296"/>
      <c r="O296"/>
      <c r="Q296"/>
      <c r="R296"/>
    </row>
    <row r="297" spans="14:18">
      <c r="N297"/>
      <c r="O297"/>
      <c r="Q297"/>
      <c r="R297"/>
    </row>
    <row r="298" spans="14:18">
      <c r="N298"/>
      <c r="O298"/>
      <c r="Q298"/>
      <c r="R298"/>
    </row>
    <row r="299" spans="14:18">
      <c r="N299"/>
      <c r="O299"/>
      <c r="Q299"/>
      <c r="R299"/>
    </row>
    <row r="300" spans="14:18">
      <c r="N300"/>
      <c r="O300"/>
      <c r="Q300"/>
      <c r="R300"/>
    </row>
    <row r="301" spans="14:18">
      <c r="N301"/>
      <c r="O301"/>
      <c r="Q301"/>
      <c r="R301"/>
    </row>
    <row r="302" spans="14:18">
      <c r="N302"/>
      <c r="O302"/>
      <c r="Q302"/>
      <c r="R302"/>
    </row>
    <row r="303" spans="14:18">
      <c r="N303"/>
      <c r="O303"/>
      <c r="Q303"/>
      <c r="R303"/>
    </row>
    <row r="304" spans="14:18">
      <c r="N304"/>
      <c r="O304"/>
      <c r="Q304"/>
      <c r="R304"/>
    </row>
    <row r="305" spans="14:18">
      <c r="N305"/>
      <c r="O305"/>
      <c r="Q305"/>
      <c r="R305"/>
    </row>
    <row r="306" spans="14:18">
      <c r="N306"/>
      <c r="O306"/>
      <c r="Q306"/>
      <c r="R306"/>
    </row>
    <row r="307" spans="14:18">
      <c r="N307"/>
      <c r="O307"/>
      <c r="Q307"/>
      <c r="R307"/>
    </row>
    <row r="308" spans="14:18">
      <c r="N308"/>
      <c r="O308"/>
      <c r="Q308"/>
      <c r="R308"/>
    </row>
    <row r="309" spans="14:18">
      <c r="N309"/>
      <c r="O309"/>
      <c r="Q309"/>
      <c r="R309"/>
    </row>
    <row r="310" spans="14:18">
      <c r="N310"/>
      <c r="O310"/>
      <c r="Q310"/>
      <c r="R310"/>
    </row>
    <row r="311" spans="14:18">
      <c r="N311"/>
      <c r="O311"/>
      <c r="Q311"/>
      <c r="R311"/>
    </row>
    <row r="312" spans="14:18">
      <c r="N312"/>
      <c r="O312"/>
      <c r="Q312"/>
      <c r="R312"/>
    </row>
    <row r="313" spans="14:18">
      <c r="N313"/>
      <c r="O313"/>
      <c r="Q313"/>
      <c r="R313"/>
    </row>
    <row r="314" spans="14:18">
      <c r="N314"/>
      <c r="O314"/>
      <c r="Q314"/>
      <c r="R314"/>
    </row>
    <row r="315" spans="14:18">
      <c r="N315"/>
      <c r="O315"/>
      <c r="Q315"/>
      <c r="R315"/>
    </row>
    <row r="316" spans="14:18">
      <c r="N316"/>
      <c r="O316"/>
      <c r="Q316"/>
      <c r="R316"/>
    </row>
    <row r="317" spans="14:18">
      <c r="N317"/>
      <c r="O317"/>
      <c r="Q317"/>
      <c r="R317"/>
    </row>
    <row r="318" spans="14:18">
      <c r="N318"/>
      <c r="O318"/>
      <c r="Q318"/>
      <c r="R318"/>
    </row>
    <row r="319" spans="14:18">
      <c r="N319"/>
      <c r="O319"/>
      <c r="Q319"/>
      <c r="R319"/>
    </row>
    <row r="320" spans="14:18">
      <c r="N320"/>
      <c r="O320"/>
      <c r="Q320"/>
      <c r="R320"/>
    </row>
    <row r="321" spans="14:18">
      <c r="N321"/>
      <c r="O321"/>
      <c r="Q321"/>
      <c r="R321"/>
    </row>
    <row r="322" spans="14:18">
      <c r="N322"/>
      <c r="O322"/>
      <c r="Q322"/>
      <c r="R322"/>
    </row>
    <row r="323" spans="14:18">
      <c r="N323"/>
      <c r="O323"/>
      <c r="Q323"/>
      <c r="R323"/>
    </row>
    <row r="324" spans="14:18">
      <c r="N324"/>
      <c r="O324"/>
      <c r="Q324"/>
      <c r="R324"/>
    </row>
    <row r="325" spans="14:18">
      <c r="N325"/>
      <c r="O325"/>
      <c r="Q325"/>
      <c r="R325"/>
    </row>
  </sheetData>
  <sheetProtection algorithmName="SHA-512" hashValue="VqF4A32vP22SRXbO6m0WQmm9RvQJYioGrBT5n52r4SOkezuUK2aYNk0e6lGa7Tj1goV+1IzYhtDPIUAbAHGouw==" saltValue="NBRgDIwo4S6xa8B8dn40hA==" spinCount="100000" sheet="1" objects="1" scenarios="1" selectLockedCells="1" selectUnlockedCells="1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39"/>
  <sheetViews>
    <sheetView showGridLines="0" topLeftCell="C4" zoomScale="85" zoomScaleNormal="85" workbookViewId="0">
      <selection activeCell="T22" sqref="T22"/>
    </sheetView>
  </sheetViews>
  <sheetFormatPr defaultRowHeight="16.5"/>
  <cols>
    <col min="1" max="1" width="9" style="8"/>
    <col min="2" max="2" width="18.625" customWidth="1"/>
    <col min="7" max="7" width="9" customWidth="1"/>
    <col min="8" max="8" width="8.75" style="8" customWidth="1"/>
    <col min="9" max="9" width="11.625" customWidth="1"/>
    <col min="11" max="11" width="12" style="8" customWidth="1"/>
    <col min="12" max="12" width="18.625" customWidth="1"/>
    <col min="14" max="14" width="18.25" customWidth="1"/>
    <col min="15" max="15" width="8.25" customWidth="1"/>
    <col min="16" max="16" width="7" customWidth="1"/>
    <col min="17" max="17" width="6.625" customWidth="1"/>
    <col min="18" max="18" width="7.25" customWidth="1"/>
    <col min="19" max="19" width="8.125" customWidth="1"/>
    <col min="20" max="20" width="6.5" customWidth="1"/>
    <col min="21" max="21" width="10.625" customWidth="1"/>
  </cols>
  <sheetData>
    <row r="1" spans="2:21" s="8" customFormat="1"/>
    <row r="2" spans="2:21">
      <c r="C2" s="7"/>
      <c r="D2" s="7"/>
      <c r="E2" s="7"/>
      <c r="F2" s="7"/>
      <c r="G2" s="7"/>
      <c r="H2" s="7"/>
      <c r="I2" s="7"/>
    </row>
    <row r="3" spans="2:21" ht="16.5" customHeight="1">
      <c r="B3" s="51"/>
      <c r="C3" s="52" t="s">
        <v>40</v>
      </c>
      <c r="D3" s="52" t="s">
        <v>41</v>
      </c>
      <c r="E3" s="52" t="s">
        <v>6</v>
      </c>
      <c r="F3" s="52" t="str">
        <f>외대식.madebyfreeodd!C4</f>
        <v>한국사</v>
      </c>
      <c r="G3" s="52" t="str">
        <f>외대식.madebyfreeodd!D4</f>
        <v>사문</v>
      </c>
      <c r="H3" s="52" t="str">
        <f>외대식.madebyfreeodd!E4</f>
        <v>베트남</v>
      </c>
      <c r="I3" s="52" t="s">
        <v>42</v>
      </c>
      <c r="J3" s="51"/>
      <c r="K3" s="51"/>
      <c r="L3" s="265" t="str">
        <f>점수입력!J2</f>
        <v>2014 물량공급 계산기 문과  FINAL V2 [최종 공개용]</v>
      </c>
      <c r="M3" s="266"/>
      <c r="N3" s="266"/>
      <c r="O3" s="266"/>
      <c r="P3" s="266"/>
      <c r="Q3" s="266"/>
      <c r="R3" s="266"/>
      <c r="S3" s="267"/>
      <c r="T3" s="51"/>
      <c r="U3" s="51"/>
    </row>
    <row r="4" spans="2:21" ht="16.5" customHeight="1">
      <c r="B4" s="53" t="s">
        <v>153</v>
      </c>
      <c r="C4" s="52">
        <v>131</v>
      </c>
      <c r="D4" s="52">
        <v>143</v>
      </c>
      <c r="E4" s="52">
        <v>136</v>
      </c>
      <c r="F4" s="52"/>
      <c r="G4" s="52"/>
      <c r="H4" s="52"/>
      <c r="I4" s="54" t="s">
        <v>43</v>
      </c>
      <c r="J4" s="51"/>
      <c r="K4" s="51"/>
      <c r="L4" s="268"/>
      <c r="M4" s="269"/>
      <c r="N4" s="269"/>
      <c r="O4" s="269"/>
      <c r="P4" s="269"/>
      <c r="Q4" s="269"/>
      <c r="R4" s="269"/>
      <c r="S4" s="270"/>
      <c r="T4" s="51"/>
      <c r="U4" s="51"/>
    </row>
    <row r="5" spans="2:21">
      <c r="B5" s="53" t="s">
        <v>16</v>
      </c>
      <c r="C5" s="55">
        <f>점수입력!C6</f>
        <v>131</v>
      </c>
      <c r="D5" s="55">
        <f>점수입력!D6</f>
        <v>143</v>
      </c>
      <c r="E5" s="55">
        <f>점수입력!E6</f>
        <v>129</v>
      </c>
      <c r="F5" s="55">
        <f>점수입력!F6</f>
        <v>60</v>
      </c>
      <c r="G5" s="55">
        <f>점수입력!G6</f>
        <v>66</v>
      </c>
      <c r="H5" s="55">
        <f>점수입력!H6</f>
        <v>0</v>
      </c>
      <c r="I5" s="56">
        <f>IFERROR(점수입력!H8,"")</f>
        <v>0</v>
      </c>
      <c r="J5" s="51"/>
      <c r="K5" s="51"/>
      <c r="L5" s="51"/>
      <c r="M5" s="57" t="s">
        <v>119</v>
      </c>
      <c r="N5" s="58" t="s">
        <v>1603</v>
      </c>
      <c r="O5" s="51"/>
      <c r="P5" s="51" t="s">
        <v>1604</v>
      </c>
      <c r="Q5" s="51"/>
      <c r="R5" s="51"/>
      <c r="S5" s="51"/>
      <c r="T5" s="51"/>
      <c r="U5" s="51"/>
    </row>
    <row r="6" spans="2:21">
      <c r="B6" s="53" t="s">
        <v>17</v>
      </c>
      <c r="C6" s="55">
        <f>점수입력!C7</f>
        <v>100</v>
      </c>
      <c r="D6" s="55">
        <f>점수입력!D7</f>
        <v>100</v>
      </c>
      <c r="E6" s="55">
        <f>점수입력!E7</f>
        <v>96</v>
      </c>
      <c r="F6" s="55">
        <f>점수입력!F7</f>
        <v>75</v>
      </c>
      <c r="G6" s="55">
        <f>점수입력!G7</f>
        <v>98</v>
      </c>
      <c r="H6" s="55">
        <f>점수입력!H7</f>
        <v>0</v>
      </c>
      <c r="I6" s="59">
        <f>VLOOKUP(계산내역상세!I5,변환표준점수!J:K,2,FALSE)</f>
        <v>0</v>
      </c>
      <c r="J6" s="51"/>
      <c r="K6" s="51"/>
      <c r="L6" s="286" t="s">
        <v>1554</v>
      </c>
      <c r="M6" s="287"/>
      <c r="N6" s="287"/>
      <c r="O6" s="287"/>
      <c r="P6" s="287"/>
      <c r="Q6" s="287"/>
      <c r="R6" s="287"/>
      <c r="S6" s="288"/>
      <c r="T6" s="51"/>
      <c r="U6" s="51"/>
    </row>
    <row r="7" spans="2:21" hidden="1">
      <c r="B7" s="57" t="s">
        <v>5</v>
      </c>
      <c r="C7" s="58">
        <f>C5</f>
        <v>131</v>
      </c>
      <c r="D7" s="58">
        <f>D5</f>
        <v>143</v>
      </c>
      <c r="E7" s="58">
        <f>E5</f>
        <v>129</v>
      </c>
      <c r="F7" s="58">
        <f>VLOOKUP(F6,변환표준점수!$D:$F,3,FALSE)</f>
        <v>58.76</v>
      </c>
      <c r="G7" s="58">
        <f>VLOOKUP(G6,변환표준점수!$D:$F,3,FALSE)</f>
        <v>65.849999999999994</v>
      </c>
      <c r="H7" s="58">
        <f>VLOOKUP(H6,변환표준점수!$D:$F,3,FALSE)</f>
        <v>0</v>
      </c>
      <c r="I7" s="58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2:21" s="8" customFormat="1">
      <c r="B8" s="57"/>
      <c r="C8" s="58"/>
      <c r="D8" s="58"/>
      <c r="E8" s="58"/>
      <c r="F8" s="58"/>
      <c r="G8" s="58"/>
      <c r="H8" s="58"/>
      <c r="I8" s="58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2:21" s="8" customFormat="1">
      <c r="B9" s="57"/>
      <c r="C9" s="58"/>
      <c r="D9" s="58"/>
      <c r="E9" s="58"/>
      <c r="F9" s="58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2:21" s="8" customFormat="1">
      <c r="B10" s="51"/>
      <c r="C10" s="51"/>
      <c r="D10" s="51"/>
      <c r="E10" s="51"/>
      <c r="F10" s="60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2:21" s="8" customFormat="1">
      <c r="B11" s="51"/>
      <c r="C11" s="51"/>
      <c r="D11" s="51"/>
      <c r="E11" s="51"/>
      <c r="F11" s="60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2:21" s="8" customFormat="1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2:21">
      <c r="B13" s="61" t="s">
        <v>23</v>
      </c>
      <c r="C13" s="62" t="s">
        <v>40</v>
      </c>
      <c r="D13" s="62" t="s">
        <v>41</v>
      </c>
      <c r="E13" s="62" t="s">
        <v>6</v>
      </c>
      <c r="F13" s="56" t="s">
        <v>37</v>
      </c>
      <c r="G13" s="56" t="s">
        <v>38</v>
      </c>
      <c r="H13" s="56" t="s">
        <v>39</v>
      </c>
      <c r="I13" s="56" t="s">
        <v>4</v>
      </c>
      <c r="J13" s="63" t="s">
        <v>7</v>
      </c>
      <c r="K13" s="160" t="s">
        <v>1574</v>
      </c>
      <c r="L13" s="161" t="s">
        <v>1575</v>
      </c>
      <c r="M13" s="51"/>
      <c r="N13" s="61" t="s">
        <v>1555</v>
      </c>
      <c r="O13" s="62" t="s">
        <v>154</v>
      </c>
      <c r="P13" s="62" t="s">
        <v>155</v>
      </c>
      <c r="Q13" s="62" t="s">
        <v>156</v>
      </c>
      <c r="R13" s="56" t="s">
        <v>157</v>
      </c>
      <c r="S13" s="56" t="s">
        <v>158</v>
      </c>
      <c r="T13" s="56" t="s">
        <v>34</v>
      </c>
      <c r="U13" s="51"/>
    </row>
    <row r="14" spans="2:21">
      <c r="B14" s="61" t="s">
        <v>2</v>
      </c>
      <c r="C14" s="64">
        <f>C$7*O14</f>
        <v>131</v>
      </c>
      <c r="D14" s="64">
        <f>D$7*P14</f>
        <v>171.6</v>
      </c>
      <c r="E14" s="64">
        <f>E$7*Q14</f>
        <v>129</v>
      </c>
      <c r="F14" s="64">
        <f ca="1">외대식.madebyfreeodd!C7*R14</f>
        <v>47</v>
      </c>
      <c r="G14" s="64">
        <f ca="1">외대식.madebyfreeodd!D7*S14</f>
        <v>52.68</v>
      </c>
      <c r="H14" s="159">
        <f>I6</f>
        <v>0</v>
      </c>
      <c r="I14" s="65">
        <f ca="1">(SUM(C14:G14)+I6)*외대식.madebyfreeodd!C10</f>
        <v>531.28</v>
      </c>
      <c r="J14" s="66"/>
      <c r="K14" s="162" t="str">
        <f ca="1">청솔누적확인!I8</f>
        <v>0.4%~0.5%</v>
      </c>
      <c r="L14" s="161" t="str">
        <f ca="1">칼레계산sheet!I8</f>
        <v>0.504%~0.534%</v>
      </c>
      <c r="M14" s="51"/>
      <c r="N14" s="61" t="s">
        <v>135</v>
      </c>
      <c r="O14" s="64">
        <v>1</v>
      </c>
      <c r="P14" s="64">
        <v>1.2</v>
      </c>
      <c r="Q14" s="64">
        <v>1</v>
      </c>
      <c r="R14" s="64">
        <v>0.8</v>
      </c>
      <c r="S14" s="64">
        <v>0.8</v>
      </c>
      <c r="T14" s="64"/>
      <c r="U14" s="51"/>
    </row>
    <row r="15" spans="2:21" s="8" customFormat="1">
      <c r="B15" s="61" t="s">
        <v>257</v>
      </c>
      <c r="C15" s="64">
        <f>VLOOKUP(C5,서울대사탐교차!AG:AH,2,FALSE)*O15</f>
        <v>132</v>
      </c>
      <c r="D15" s="64">
        <f>VLOOKUP(D5,서울대사탐교차!AJ:AK,2,FALSE)*P15</f>
        <v>165.6</v>
      </c>
      <c r="E15" s="64">
        <f>E14</f>
        <v>129</v>
      </c>
      <c r="F15" s="64">
        <f ca="1">외대식.madebyfreeodd!C8*R15</f>
        <v>46.736000000000004</v>
      </c>
      <c r="G15" s="64">
        <f ca="1">외대식.madebyfreeodd!D8*S15</f>
        <v>53.800000000000004</v>
      </c>
      <c r="H15" s="64"/>
      <c r="I15" s="65">
        <f ca="1">SUM(C15:G15,I6)*외대식.madebyfreeodd!C10</f>
        <v>527.13599999999997</v>
      </c>
      <c r="J15" s="66"/>
      <c r="K15" s="162" t="str">
        <f ca="1">청솔누적확인!I9</f>
        <v>0.7%~0.8%</v>
      </c>
      <c r="L15" s="161" t="str">
        <f ca="1">칼레계산sheet!I9</f>
        <v>0.748%~0.779%</v>
      </c>
      <c r="M15" s="51"/>
      <c r="N15" s="61" t="s">
        <v>257</v>
      </c>
      <c r="O15" s="64">
        <v>1</v>
      </c>
      <c r="P15" s="64">
        <v>1.2</v>
      </c>
      <c r="Q15" s="64">
        <v>1</v>
      </c>
      <c r="R15" s="64">
        <v>0.8</v>
      </c>
      <c r="S15" s="64">
        <v>0.8</v>
      </c>
      <c r="T15" s="64"/>
      <c r="U15" s="51"/>
    </row>
    <row r="16" spans="2:21">
      <c r="B16" s="61" t="s">
        <v>3</v>
      </c>
      <c r="C16" s="92">
        <f t="shared" ref="C16:C28" si="0">C$7*O16</f>
        <v>93.571428571428569</v>
      </c>
      <c r="D16" s="92">
        <f t="shared" ref="D16:D29" si="1">D$7*P16</f>
        <v>102.14285714285714</v>
      </c>
      <c r="E16" s="92">
        <f t="shared" ref="E16:E29" si="2">E$7*Q16</f>
        <v>92.142857142857139</v>
      </c>
      <c r="F16" s="92">
        <f>탐구계산Sheet!B6*R16</f>
        <v>20.985714285714284</v>
      </c>
      <c r="G16" s="92">
        <f>탐구계산Sheet!C6*S16</f>
        <v>23.542857142857144</v>
      </c>
      <c r="H16" s="92">
        <f>탐구계산Sheet!D6*T16</f>
        <v>10.321428571428571</v>
      </c>
      <c r="I16" s="65">
        <f>C16+D16+E16+LARGE(F16:H16,1)+LARGE(F16:H16,2)</f>
        <v>332.3857142857143</v>
      </c>
      <c r="J16" s="66"/>
      <c r="K16" s="160" t="str">
        <f ca="1">청솔누적확인!I10</f>
        <v>0.3%~0.4%</v>
      </c>
      <c r="L16" s="161" t="str">
        <f ca="1">칼레계산sheet!I10</f>
        <v>0.741%~0.771%</v>
      </c>
      <c r="M16" s="51"/>
      <c r="N16" s="61" t="s">
        <v>136</v>
      </c>
      <c r="O16" s="64">
        <f>5/7</f>
        <v>0.7142857142857143</v>
      </c>
      <c r="P16" s="64">
        <f>5/7</f>
        <v>0.7142857142857143</v>
      </c>
      <c r="Q16" s="64">
        <f>5/7</f>
        <v>0.7142857142857143</v>
      </c>
      <c r="R16" s="64">
        <f>2.5/7</f>
        <v>0.35714285714285715</v>
      </c>
      <c r="S16" s="64">
        <f>2.5/7</f>
        <v>0.35714285714285715</v>
      </c>
      <c r="T16" s="64">
        <f>2.5/7</f>
        <v>0.35714285714285715</v>
      </c>
      <c r="U16" s="51"/>
    </row>
    <row r="17" spans="2:21">
      <c r="B17" s="61" t="s">
        <v>45</v>
      </c>
      <c r="C17" s="92">
        <f t="shared" si="0"/>
        <v>137.48950461796809</v>
      </c>
      <c r="D17" s="92">
        <f t="shared" si="1"/>
        <v>150.08396305625527</v>
      </c>
      <c r="E17" s="92">
        <f t="shared" si="2"/>
        <v>135.39042821158691</v>
      </c>
      <c r="F17" s="92">
        <f>탐구계산Sheet!B7*R17</f>
        <v>30.830184718723764</v>
      </c>
      <c r="G17" s="92">
        <f>탐구계산Sheet!C7*S17</f>
        <v>34.556045340050375</v>
      </c>
      <c r="H17" s="92">
        <f>탐구계산Sheet!D7*T17</f>
        <v>17.663727959697731</v>
      </c>
      <c r="I17" s="65">
        <f>500*MAX(탐구계산Sheet!I7/탐구계산Sheet!N7,탐구계산Sheet!K7/탐구계산Sheet!P7)</f>
        <v>488.35012594458442</v>
      </c>
      <c r="J17" s="66"/>
      <c r="K17" s="160" t="str">
        <f ca="1">청솔누적확인!I11</f>
        <v>0.3%~0.4%</v>
      </c>
      <c r="L17" s="161" t="str">
        <f ca="1">칼레계산sheet!I11</f>
        <v>0.711%~0.741%</v>
      </c>
      <c r="M17" s="51"/>
      <c r="N17" s="61" t="s">
        <v>45</v>
      </c>
      <c r="O17" s="64">
        <f>500/탐구계산Sheet!$Q$7</f>
        <v>1.0495382031905962</v>
      </c>
      <c r="P17" s="64">
        <f>500/탐구계산Sheet!$Q$7</f>
        <v>1.0495382031905962</v>
      </c>
      <c r="Q17" s="64">
        <f>500/탐구계산Sheet!$Q$7</f>
        <v>1.0495382031905962</v>
      </c>
      <c r="R17" s="64">
        <f>0.5*500/탐구계산Sheet!$Q$7</f>
        <v>0.5247691015952981</v>
      </c>
      <c r="S17" s="64">
        <f>0.5*500/탐구계산Sheet!$Q$7</f>
        <v>0.5247691015952981</v>
      </c>
      <c r="T17" s="64">
        <f>0.5*500/탐구계산Sheet!$Q$7</f>
        <v>0.5247691015952981</v>
      </c>
      <c r="U17" s="51"/>
    </row>
    <row r="18" spans="2:21">
      <c r="B18" s="61" t="s">
        <v>51</v>
      </c>
      <c r="C18" s="64">
        <f t="shared" si="0"/>
        <v>144.10000000000002</v>
      </c>
      <c r="D18" s="64">
        <f t="shared" si="1"/>
        <v>171.6</v>
      </c>
      <c r="E18" s="64">
        <f t="shared" si="2"/>
        <v>167.70000000000002</v>
      </c>
      <c r="F18" s="64">
        <f>탐구계산Sheet!B8*R18</f>
        <v>23.504000000000001</v>
      </c>
      <c r="G18" s="64">
        <f>탐구계산Sheet!C8*S18</f>
        <v>26.34</v>
      </c>
      <c r="H18" s="64">
        <f>탐구계산Sheet!D8*T18</f>
        <v>11.56</v>
      </c>
      <c r="I18" s="65">
        <f>SUM(C18:E18)+LARGE(F18:H18,1)+LARGE(F18:H18,2)</f>
        <v>533.24400000000003</v>
      </c>
      <c r="J18" s="66"/>
      <c r="K18" s="160" t="str">
        <f ca="1">청솔누적확인!I12</f>
        <v>0.3%~0.4%</v>
      </c>
      <c r="L18" s="161" t="str">
        <f ca="1">칼레계산sheet!I12</f>
        <v>0.711%~0.741%</v>
      </c>
      <c r="M18" s="51"/>
      <c r="N18" s="61" t="s">
        <v>137</v>
      </c>
      <c r="O18" s="64">
        <v>1.1000000000000001</v>
      </c>
      <c r="P18" s="64">
        <v>1.2</v>
      </c>
      <c r="Q18" s="64">
        <v>1.3</v>
      </c>
      <c r="R18" s="64">
        <v>0.4</v>
      </c>
      <c r="S18" s="64">
        <v>0.4</v>
      </c>
      <c r="T18" s="64">
        <v>0.4</v>
      </c>
      <c r="U18" s="51"/>
    </row>
    <row r="19" spans="2:21">
      <c r="B19" s="61" t="s">
        <v>52</v>
      </c>
      <c r="C19" s="64">
        <f t="shared" si="0"/>
        <v>131</v>
      </c>
      <c r="D19" s="64">
        <f t="shared" si="1"/>
        <v>185.9</v>
      </c>
      <c r="E19" s="64">
        <f t="shared" si="2"/>
        <v>167.70000000000002</v>
      </c>
      <c r="F19" s="64">
        <f>탐구계산Sheet!B9*R19</f>
        <v>23.504000000000001</v>
      </c>
      <c r="G19" s="64">
        <f>탐구계산Sheet!C9*S19</f>
        <v>26.34</v>
      </c>
      <c r="H19" s="64">
        <f>탐구계산Sheet!D9*T19</f>
        <v>11.56</v>
      </c>
      <c r="I19" s="65">
        <f>SUM(C19:E19)+LARGE(F19:H19,1)+LARGE(F19:H19,2)</f>
        <v>534.44399999999996</v>
      </c>
      <c r="J19" s="66"/>
      <c r="K19" s="160" t="str">
        <f ca="1">청솔누적확인!I13</f>
        <v>0.3%~0.4%</v>
      </c>
      <c r="L19" s="161" t="str">
        <f ca="1">칼레계산sheet!I13</f>
        <v>0.711%~0.741%</v>
      </c>
      <c r="M19" s="51"/>
      <c r="N19" s="61" t="s">
        <v>138</v>
      </c>
      <c r="O19" s="64">
        <v>1</v>
      </c>
      <c r="P19" s="64">
        <v>1.3</v>
      </c>
      <c r="Q19" s="64">
        <v>1.3</v>
      </c>
      <c r="R19" s="64">
        <v>0.4</v>
      </c>
      <c r="S19" s="64">
        <v>0.4</v>
      </c>
      <c r="T19" s="64">
        <v>0.4</v>
      </c>
      <c r="U19" s="51"/>
    </row>
    <row r="20" spans="2:21">
      <c r="B20" s="61" t="s">
        <v>8</v>
      </c>
      <c r="C20" s="64">
        <f t="shared" si="0"/>
        <v>129.69</v>
      </c>
      <c r="D20" s="64">
        <f t="shared" si="1"/>
        <v>145.86000000000001</v>
      </c>
      <c r="E20" s="64">
        <f t="shared" si="2"/>
        <v>127.71</v>
      </c>
      <c r="F20" s="64"/>
      <c r="G20" s="64"/>
      <c r="H20" s="64"/>
      <c r="I20" s="65">
        <f>SUM(C20:E20)</f>
        <v>403.26</v>
      </c>
      <c r="J20" s="66"/>
      <c r="K20" s="160"/>
      <c r="L20" s="161" t="str">
        <f ca="1">칼레계산sheet!I14</f>
        <v>0.385%~0.444%</v>
      </c>
      <c r="M20" s="51"/>
      <c r="N20" s="61" t="s">
        <v>139</v>
      </c>
      <c r="O20" s="64">
        <v>0.99</v>
      </c>
      <c r="P20" s="64">
        <v>1.02</v>
      </c>
      <c r="Q20" s="64">
        <v>0.99</v>
      </c>
      <c r="R20" s="64">
        <v>0</v>
      </c>
      <c r="S20" s="64">
        <v>0</v>
      </c>
      <c r="T20" s="64">
        <v>0</v>
      </c>
      <c r="U20" s="51"/>
    </row>
    <row r="21" spans="2:21">
      <c r="B21" s="61" t="s">
        <v>9</v>
      </c>
      <c r="C21" s="64">
        <f t="shared" si="0"/>
        <v>137.54999999999998</v>
      </c>
      <c r="D21" s="64">
        <f t="shared" si="1"/>
        <v>150.14999999999998</v>
      </c>
      <c r="E21" s="64">
        <f t="shared" si="2"/>
        <v>135.44999999999999</v>
      </c>
      <c r="F21" s="64">
        <f>탐구계산Sheet!B11*R21</f>
        <v>20.877499999999998</v>
      </c>
      <c r="G21" s="64">
        <f>탐구계산Sheet!C11*S21</f>
        <v>23.138499999999997</v>
      </c>
      <c r="H21" s="64">
        <f>탐구계산Sheet!D11*T21</f>
        <v>10.43</v>
      </c>
      <c r="I21" s="65">
        <f>SUM(C21:E21)+LARGE(F21:H21,1)+LARGE(F21:H21,2)</f>
        <v>467.16599999999994</v>
      </c>
      <c r="J21" s="66"/>
      <c r="K21" s="162" t="str">
        <f ca="1">청솔누적확인!I15</f>
        <v>0.3%~0.4%</v>
      </c>
      <c r="L21" s="161" t="str">
        <f ca="1">칼레계산sheet!I15</f>
        <v>0.652%~0.682%</v>
      </c>
      <c r="M21" s="51"/>
      <c r="N21" s="61" t="s">
        <v>140</v>
      </c>
      <c r="O21" s="64">
        <f>1.5*0.7</f>
        <v>1.0499999999999998</v>
      </c>
      <c r="P21" s="64">
        <f>O21</f>
        <v>1.0499999999999998</v>
      </c>
      <c r="Q21" s="64">
        <f>P21</f>
        <v>1.0499999999999998</v>
      </c>
      <c r="R21" s="64">
        <v>0.35</v>
      </c>
      <c r="S21" s="64">
        <v>0.35</v>
      </c>
      <c r="T21" s="64">
        <v>0.35</v>
      </c>
      <c r="U21" s="51"/>
    </row>
    <row r="22" spans="2:21">
      <c r="B22" s="61" t="s">
        <v>50</v>
      </c>
      <c r="C22" s="64">
        <f t="shared" si="0"/>
        <v>300</v>
      </c>
      <c r="D22" s="64">
        <f t="shared" si="1"/>
        <v>200</v>
      </c>
      <c r="E22" s="64">
        <f t="shared" si="2"/>
        <v>379.41176470588238</v>
      </c>
      <c r="F22" s="64">
        <f>탐구계산Sheet!B12*R22</f>
        <v>44.000000000000007</v>
      </c>
      <c r="G22" s="64">
        <f>탐구계산Sheet!C12*S22</f>
        <v>49.325842696629216</v>
      </c>
      <c r="H22" s="64">
        <f>탐구계산Sheet!D12*T22</f>
        <v>21.573033707865171</v>
      </c>
      <c r="I22" s="65">
        <f>0.7*(SUM(C22:E22)+LARGE(F22:H22,1)+LARGE(F22:H22,2))</f>
        <v>680.91632518175811</v>
      </c>
      <c r="J22" s="66"/>
      <c r="K22" s="160"/>
      <c r="L22" s="161" t="str">
        <f ca="1">칼레계산sheet!I16</f>
        <v>0.889%~0.918%</v>
      </c>
      <c r="M22" s="51"/>
      <c r="N22" s="61" t="s">
        <v>141</v>
      </c>
      <c r="O22" s="64">
        <f>300/$C$4</f>
        <v>2.2900763358778624</v>
      </c>
      <c r="P22" s="64">
        <f>200/$D$4</f>
        <v>1.3986013986013985</v>
      </c>
      <c r="Q22" s="64">
        <f>400/$E$4</f>
        <v>2.9411764705882355</v>
      </c>
      <c r="R22" s="64">
        <f>100/(대학별탐구변환표준점수!$N$3+대학별탐구변환표준점수!$N$3)</f>
        <v>0.74906367041198507</v>
      </c>
      <c r="S22" s="64">
        <f>100/(대학별탐구변환표준점수!$N$3+대학별탐구변환표준점수!$N$3)</f>
        <v>0.74906367041198507</v>
      </c>
      <c r="T22" s="64">
        <f>100/(대학별탐구변환표준점수!$N$3+대학별탐구변환표준점수!$N$3)</f>
        <v>0.74906367041198507</v>
      </c>
      <c r="U22" s="51"/>
    </row>
    <row r="23" spans="2:21" s="8" customFormat="1">
      <c r="B23" s="61" t="s">
        <v>53</v>
      </c>
      <c r="C23" s="64">
        <f t="shared" si="0"/>
        <v>200</v>
      </c>
      <c r="D23" s="64">
        <f t="shared" si="1"/>
        <v>300</v>
      </c>
      <c r="E23" s="64">
        <f t="shared" si="2"/>
        <v>379.41176470588238</v>
      </c>
      <c r="F23" s="64">
        <f>탐구계산Sheet!B13*R23</f>
        <v>44.000000000000007</v>
      </c>
      <c r="G23" s="64">
        <f>탐구계산Sheet!C13*S23</f>
        <v>49.325842696629216</v>
      </c>
      <c r="H23" s="64">
        <f>탐구계산Sheet!D13*T23</f>
        <v>21.573033707865171</v>
      </c>
      <c r="I23" s="65">
        <f>(SUM(C23:E23)+LARGE(F23:H23,1)+LARGE(F23:H23,2))*0.7</f>
        <v>680.91632518175811</v>
      </c>
      <c r="J23" s="66"/>
      <c r="K23" s="160"/>
      <c r="L23" s="161" t="str">
        <f ca="1">칼레계산sheet!I17</f>
        <v>0.948%~0.978%</v>
      </c>
      <c r="M23" s="51"/>
      <c r="N23" s="61" t="s">
        <v>142</v>
      </c>
      <c r="O23" s="64">
        <f>200/$C$4</f>
        <v>1.5267175572519085</v>
      </c>
      <c r="P23" s="64">
        <f>300/$D$4</f>
        <v>2.0979020979020979</v>
      </c>
      <c r="Q23" s="64">
        <f>400/$E$4</f>
        <v>2.9411764705882355</v>
      </c>
      <c r="R23" s="64">
        <f>100/(대학별탐구변환표준점수!$N$3+대학별탐구변환표준점수!$N$3)</f>
        <v>0.74906367041198507</v>
      </c>
      <c r="S23" s="64">
        <f>100/(대학별탐구변환표준점수!$N$3+대학별탐구변환표준점수!$N$3)</f>
        <v>0.74906367041198507</v>
      </c>
      <c r="T23" s="64">
        <f>100/(대학별탐구변환표준점수!$N$3+대학별탐구변환표준점수!$N$3)</f>
        <v>0.74906367041198507</v>
      </c>
      <c r="U23" s="51"/>
    </row>
    <row r="24" spans="2:21">
      <c r="B24" s="61" t="s">
        <v>56</v>
      </c>
      <c r="C24" s="64">
        <f t="shared" si="0"/>
        <v>300</v>
      </c>
      <c r="D24" s="64">
        <f t="shared" si="1"/>
        <v>300</v>
      </c>
      <c r="E24" s="64">
        <f t="shared" si="2"/>
        <v>284.55882352941177</v>
      </c>
      <c r="F24" s="64">
        <f>탐구계산Sheet!B14*R24</f>
        <v>43.988621051055546</v>
      </c>
      <c r="G24" s="64">
        <f>탐구계산Sheet!C14*S24</f>
        <v>49.296301841593049</v>
      </c>
      <c r="H24" s="64">
        <f>탐구계산Sheet!D14*T24</f>
        <v>21.634975295702947</v>
      </c>
      <c r="I24" s="65">
        <f>SUM(C24:H24)-MIN(F24:H24)</f>
        <v>977.84374642206035</v>
      </c>
      <c r="J24" s="66"/>
      <c r="K24" s="162" t="str">
        <f ca="1">청솔누적확인!I18</f>
        <v>0.3%~0.4%</v>
      </c>
      <c r="L24" s="202" t="str">
        <f ca="1">칼레계산sheet!I18</f>
        <v>0.652%~0.682%</v>
      </c>
      <c r="M24" s="51"/>
      <c r="N24" s="61" t="s">
        <v>143</v>
      </c>
      <c r="O24" s="64">
        <f>300/$C$4</f>
        <v>2.2900763358778624</v>
      </c>
      <c r="P24" s="64">
        <f>300/$D$4</f>
        <v>2.0979020979020979</v>
      </c>
      <c r="Q24" s="64">
        <f>300/$E$4</f>
        <v>2.2058823529411766</v>
      </c>
      <c r="R24" s="64">
        <f>100/(대학별탐구변환표준점수!$Q$3+대학별탐구변환표준점수!$Q$3)</f>
        <v>0.74861506213505014</v>
      </c>
      <c r="S24" s="64">
        <f>100/(대학별탐구변환표준점수!$Q$3+대학별탐구변환표준점수!$Q$3)</f>
        <v>0.74861506213505014</v>
      </c>
      <c r="T24" s="64">
        <f>100/(대학별탐구변환표준점수!$Q$3+대학별탐구변환표준점수!$Q$3)</f>
        <v>0.74861506213505014</v>
      </c>
      <c r="U24" s="51"/>
    </row>
    <row r="25" spans="2:21" s="8" customFormat="1">
      <c r="B25" s="61" t="s">
        <v>55</v>
      </c>
      <c r="C25" s="64">
        <f t="shared" si="0"/>
        <v>300</v>
      </c>
      <c r="D25" s="64">
        <f t="shared" si="1"/>
        <v>200</v>
      </c>
      <c r="E25" s="64">
        <f t="shared" si="2"/>
        <v>284.55882352941177</v>
      </c>
      <c r="F25" s="64">
        <f>탐구계산Sheet!B15*R25</f>
        <v>87.977242102111092</v>
      </c>
      <c r="G25" s="64">
        <f>탐구계산Sheet!C15*S25</f>
        <v>98.592603683186098</v>
      </c>
      <c r="H25" s="64">
        <f>탐구계산Sheet!D15*T25</f>
        <v>43.269950591405895</v>
      </c>
      <c r="I25" s="65">
        <f>SUM(C25:H25)-MIN(F25:H25)</f>
        <v>971.12866931470887</v>
      </c>
      <c r="J25" s="66"/>
      <c r="K25" s="160"/>
      <c r="L25" s="161"/>
      <c r="M25" s="51"/>
      <c r="N25" s="61" t="s">
        <v>144</v>
      </c>
      <c r="O25" s="64">
        <f>300/$C$4</f>
        <v>2.2900763358778624</v>
      </c>
      <c r="P25" s="64">
        <f>200/$D$4</f>
        <v>1.3986013986013985</v>
      </c>
      <c r="Q25" s="64">
        <f>300/$E$4</f>
        <v>2.2058823529411766</v>
      </c>
      <c r="R25" s="64">
        <f>200/(대학별탐구변환표준점수!$Q$3+대학별탐구변환표준점수!$Q$3)</f>
        <v>1.4972301242701003</v>
      </c>
      <c r="S25" s="64">
        <f>200/(대학별탐구변환표준점수!$Q$3+대학별탐구변환표준점수!$Q$3)</f>
        <v>1.4972301242701003</v>
      </c>
      <c r="T25" s="64">
        <f>200/(대학별탐구변환표준점수!$Q$3+대학별탐구변환표준점수!$Q$3)</f>
        <v>1.4972301242701003</v>
      </c>
      <c r="U25" s="51"/>
    </row>
    <row r="26" spans="2:21">
      <c r="B26" s="61" t="s">
        <v>11</v>
      </c>
      <c r="C26" s="64">
        <f t="shared" si="0"/>
        <v>114.625</v>
      </c>
      <c r="D26" s="64">
        <f t="shared" si="1"/>
        <v>150.15</v>
      </c>
      <c r="E26" s="64">
        <f t="shared" si="2"/>
        <v>135.45000000000002</v>
      </c>
      <c r="F26" s="64">
        <f>탐구계산Sheet!B16*R26</f>
        <v>30.84375</v>
      </c>
      <c r="G26" s="64">
        <f>탐구계산Sheet!C16*S26</f>
        <v>34.571249999999999</v>
      </c>
      <c r="H26" s="64">
        <f>탐구계산Sheet!D16*T26</f>
        <v>15.172499999999999</v>
      </c>
      <c r="I26" s="65">
        <f>SUM(C26:H26)-MIN(F26:H26)</f>
        <v>465.64000000000004</v>
      </c>
      <c r="J26" s="66"/>
      <c r="K26" s="174" t="str">
        <f ca="1">청솔누적확인!I20</f>
        <v>0.4%~0.5%</v>
      </c>
      <c r="L26" s="161"/>
      <c r="M26" s="51"/>
      <c r="N26" s="61" t="s">
        <v>145</v>
      </c>
      <c r="O26" s="64">
        <f>3.5*0.25</f>
        <v>0.875</v>
      </c>
      <c r="P26" s="64">
        <f>3.5*0.3</f>
        <v>1.05</v>
      </c>
      <c r="Q26" s="64">
        <f>3.5*0.3</f>
        <v>1.05</v>
      </c>
      <c r="R26" s="64">
        <f>3.5*0.15</f>
        <v>0.52500000000000002</v>
      </c>
      <c r="S26" s="64">
        <f>3.5*0.15</f>
        <v>0.52500000000000002</v>
      </c>
      <c r="T26" s="64">
        <f>S26</f>
        <v>0.52500000000000002</v>
      </c>
      <c r="U26" s="51"/>
    </row>
    <row r="27" spans="2:21">
      <c r="B27" s="61" t="s">
        <v>58</v>
      </c>
      <c r="C27" s="64">
        <f t="shared" si="0"/>
        <v>157.19999999999999</v>
      </c>
      <c r="D27" s="64">
        <f t="shared" si="1"/>
        <v>143</v>
      </c>
      <c r="E27" s="64">
        <f t="shared" si="2"/>
        <v>180.6</v>
      </c>
      <c r="F27" s="64">
        <f>외대식.madebyfreeodd!G17*R27</f>
        <v>40</v>
      </c>
      <c r="G27" s="64">
        <f>외대식.madebyfreeodd!G18*S27</f>
        <v>38.400000000000006</v>
      </c>
      <c r="H27" s="64"/>
      <c r="I27" s="65">
        <f>SUM(C27:G27)</f>
        <v>559.19999999999993</v>
      </c>
      <c r="J27" s="66"/>
      <c r="K27" s="174" t="str">
        <f ca="1">청솔누적확인!I21</f>
        <v>0.3%~0.4%</v>
      </c>
      <c r="L27" s="161"/>
      <c r="M27" s="51"/>
      <c r="N27" s="61" t="s">
        <v>146</v>
      </c>
      <c r="O27" s="64">
        <v>1.2</v>
      </c>
      <c r="P27" s="64">
        <v>1</v>
      </c>
      <c r="Q27" s="64">
        <v>1.4</v>
      </c>
      <c r="R27" s="64">
        <v>0.4</v>
      </c>
      <c r="S27" s="64">
        <v>0.4</v>
      </c>
      <c r="T27" s="64"/>
      <c r="U27" s="51"/>
    </row>
    <row r="28" spans="2:21">
      <c r="B28" s="61" t="s">
        <v>57</v>
      </c>
      <c r="C28" s="64">
        <f t="shared" si="0"/>
        <v>200</v>
      </c>
      <c r="D28" s="64">
        <f t="shared" si="1"/>
        <v>200</v>
      </c>
      <c r="E28" s="64">
        <f t="shared" si="2"/>
        <v>189.70588235294119</v>
      </c>
      <c r="F28" s="64">
        <f>탐구계산Sheet!B18*R28</f>
        <v>44.24</v>
      </c>
      <c r="G28" s="64">
        <f>탐구계산Sheet!C18*S28</f>
        <v>49.59</v>
      </c>
      <c r="H28" s="64">
        <f>탐구계산Sheet!D18*T28</f>
        <v>0</v>
      </c>
      <c r="I28" s="65">
        <f>SUM(C28:H28)-MIN(F28:H28)</f>
        <v>683.53588235294126</v>
      </c>
      <c r="J28" s="66"/>
      <c r="K28" s="174" t="str">
        <f ca="1">청솔누적확인!I22</f>
        <v>0.3%~0.4%</v>
      </c>
      <c r="L28" s="161"/>
      <c r="M28" s="51"/>
      <c r="N28" s="61" t="s">
        <v>147</v>
      </c>
      <c r="O28" s="64">
        <f>200/C4</f>
        <v>1.5267175572519085</v>
      </c>
      <c r="P28" s="64">
        <f>200/D4</f>
        <v>1.3986013986013985</v>
      </c>
      <c r="Q28" s="64">
        <f>200/E4</f>
        <v>1.4705882352941178</v>
      </c>
      <c r="R28" s="64">
        <f>100/(2*대학별탐구변환표준점수!W3)</f>
        <v>1</v>
      </c>
      <c r="S28" s="64">
        <f>R28</f>
        <v>1</v>
      </c>
      <c r="T28" s="64">
        <f>S28</f>
        <v>1</v>
      </c>
      <c r="U28" s="51"/>
    </row>
    <row r="29" spans="2:21">
      <c r="B29" s="61" t="s">
        <v>19</v>
      </c>
      <c r="C29" s="64">
        <f>C$7*O29</f>
        <v>144.73432228982222</v>
      </c>
      <c r="D29" s="64">
        <f t="shared" si="1"/>
        <v>126.39394251874549</v>
      </c>
      <c r="E29" s="64">
        <f t="shared" si="2"/>
        <v>199.53449317207551</v>
      </c>
      <c r="F29" s="64">
        <f>탐구계산Sheet!B19*R29</f>
        <v>51.936420016793598</v>
      </c>
      <c r="G29" s="64">
        <f>탐구계산Sheet!C19*S29</f>
        <v>58.66269905572824</v>
      </c>
      <c r="H29" s="64">
        <f>탐구계산Sheet!D19*T29</f>
        <v>25.54395062092129</v>
      </c>
      <c r="I29" s="65">
        <f>SUM(C29:H29)-MIN(F29:H29)</f>
        <v>581.26187705316499</v>
      </c>
      <c r="J29" s="66"/>
      <c r="K29" s="174" t="str">
        <f ca="1">청솔누적확인!I23</f>
        <v>0.6%~0.8%</v>
      </c>
      <c r="L29" s="161"/>
      <c r="M29" s="51"/>
      <c r="N29" s="61" t="s">
        <v>148</v>
      </c>
      <c r="O29" s="64">
        <f>600*0.25/탐구계산Sheet!$H$19</f>
        <v>1.1048421548841389</v>
      </c>
      <c r="P29" s="64">
        <f>600*0.2/탐구계산Sheet!$H$19</f>
        <v>0.88387372390731112</v>
      </c>
      <c r="Q29" s="64">
        <f>600*0.35/탐구계산Sheet!$H$19</f>
        <v>1.5467790168377946</v>
      </c>
      <c r="R29" s="64">
        <f>600*0.2/탐구계산Sheet!$H$19</f>
        <v>0.88387372390731112</v>
      </c>
      <c r="S29" s="64">
        <f>600*0.2/탐구계산Sheet!$H$19</f>
        <v>0.88387372390731112</v>
      </c>
      <c r="T29" s="64">
        <f>600*0.2/탐구계산Sheet!$H$19</f>
        <v>0.88387372390731112</v>
      </c>
      <c r="U29" s="51"/>
    </row>
    <row r="30" spans="2:21" s="8" customFormat="1">
      <c r="B30" s="61" t="s">
        <v>219</v>
      </c>
      <c r="C30" s="64">
        <f>C5*O30*탐구계산Sheet!N18</f>
        <v>231.22747664926086</v>
      </c>
      <c r="D30" s="64">
        <f>D5*P30</f>
        <v>220.8575421048761</v>
      </c>
      <c r="E30" s="64">
        <f>E5*Q30*탐구계산Sheet!O18</f>
        <v>0</v>
      </c>
      <c r="F30" s="64">
        <f>탐구계산Sheet!B20*계산내역상세!R30</f>
        <v>64.823122747664925</v>
      </c>
      <c r="G30" s="64">
        <f>탐구계산Sheet!C20*계산내역상세!S30</f>
        <v>73.218356990512618</v>
      </c>
      <c r="H30" s="64">
        <f>탐구계산Sheet!D20*계산내역상세!T30</f>
        <v>31.882032801353237</v>
      </c>
      <c r="I30" s="65">
        <f>600*MAX(탐구계산Sheet!N20:O20)</f>
        <v>590.12649849231457</v>
      </c>
      <c r="J30" s="66"/>
      <c r="K30" s="160"/>
      <c r="L30" s="161"/>
      <c r="M30" s="51"/>
      <c r="N30" s="61" t="s">
        <v>219</v>
      </c>
      <c r="O30" s="64">
        <f>600*0.4*탐구계산Sheet!N18/탐구계산Sheet!$P$20</f>
        <v>1.7650952415974113</v>
      </c>
      <c r="P30" s="64">
        <f>600*0.35/탐구계산Sheet!$P$20</f>
        <v>1.5444583363977349</v>
      </c>
      <c r="Q30" s="64">
        <f>600*0.4*탐구계산Sheet!O18/탐구계산Sheet!$P$20</f>
        <v>0</v>
      </c>
      <c r="R30" s="64">
        <f>600*0.25/탐구계산Sheet!$P$20</f>
        <v>1.1031845259983819</v>
      </c>
      <c r="S30" s="64">
        <f>600*0.25/탐구계산Sheet!$P$20</f>
        <v>1.1031845259983819</v>
      </c>
      <c r="T30" s="64">
        <f>600*0.25/탐구계산Sheet!$P$20</f>
        <v>1.1031845259983819</v>
      </c>
      <c r="U30" s="51"/>
    </row>
    <row r="31" spans="2:21">
      <c r="B31" s="61" t="s">
        <v>168</v>
      </c>
      <c r="C31" s="64">
        <f t="shared" ref="C31:E32" si="3">C$7*O31</f>
        <v>137.55000000000001</v>
      </c>
      <c r="D31" s="64">
        <f t="shared" si="3"/>
        <v>125.125</v>
      </c>
      <c r="E31" s="64">
        <f t="shared" si="3"/>
        <v>158.02499999999998</v>
      </c>
      <c r="F31" s="64">
        <f>탐구계산Sheet!B21*R31</f>
        <v>20.5625</v>
      </c>
      <c r="G31" s="64">
        <f>탐구계산Sheet!C21*S31</f>
        <v>23.047499999999996</v>
      </c>
      <c r="H31" s="64"/>
      <c r="I31" s="65">
        <f>SUM(C31:H31)</f>
        <v>464.31</v>
      </c>
      <c r="J31" s="66"/>
      <c r="K31" s="174">
        <f>청솔누적확인!F25</f>
        <v>5.0000000000000001E-3</v>
      </c>
      <c r="L31" s="161"/>
      <c r="M31" s="67"/>
      <c r="N31" s="61" t="s">
        <v>167</v>
      </c>
      <c r="O31" s="64">
        <f>700*0.3/200</f>
        <v>1.05</v>
      </c>
      <c r="P31" s="64">
        <f>700*0.25/200</f>
        <v>0.875</v>
      </c>
      <c r="Q31" s="64">
        <f>700*0.35/200</f>
        <v>1.2249999999999999</v>
      </c>
      <c r="R31" s="64">
        <f>700*0.1/200</f>
        <v>0.35</v>
      </c>
      <c r="S31" s="64">
        <f>700*0.1/200</f>
        <v>0.35</v>
      </c>
      <c r="T31" s="64">
        <f>700*0.1/200</f>
        <v>0.35</v>
      </c>
      <c r="U31" s="51"/>
    </row>
    <row r="32" spans="2:21">
      <c r="B32" s="61" t="s">
        <v>181</v>
      </c>
      <c r="C32" s="64">
        <f t="shared" si="3"/>
        <v>196.5</v>
      </c>
      <c r="D32" s="64">
        <f t="shared" si="3"/>
        <v>143</v>
      </c>
      <c r="E32" s="64">
        <f t="shared" si="3"/>
        <v>225.75</v>
      </c>
      <c r="F32" s="64">
        <f>탐구계산Sheet!B22*R32</f>
        <v>44.07</v>
      </c>
      <c r="G32" s="64">
        <f>탐구계산Sheet!C22*S32</f>
        <v>49.762499999999996</v>
      </c>
      <c r="H32" s="64">
        <f>탐구계산Sheet!D22*T32</f>
        <v>25.17</v>
      </c>
      <c r="I32" s="65">
        <f>SUM(C32:H32)-MIN(F32:H32)</f>
        <v>659.0825000000001</v>
      </c>
      <c r="J32" s="66"/>
      <c r="K32" s="174">
        <f>청솔누적확인!F27</f>
        <v>5.0000000000000001E-3</v>
      </c>
      <c r="L32" s="161"/>
      <c r="M32" s="11"/>
      <c r="N32" s="61" t="s">
        <v>172</v>
      </c>
      <c r="O32" s="64">
        <f>1000*0.3/200</f>
        <v>1.5</v>
      </c>
      <c r="P32" s="64">
        <f>1000*0.2/200</f>
        <v>1</v>
      </c>
      <c r="Q32" s="64">
        <f>1000*0.35/200</f>
        <v>1.75</v>
      </c>
      <c r="R32" s="64">
        <f>1000*0.15/200</f>
        <v>0.75</v>
      </c>
      <c r="S32" s="64">
        <f>1000*0.15/200</f>
        <v>0.75</v>
      </c>
      <c r="T32" s="64">
        <f>1000*0.15/200</f>
        <v>0.75</v>
      </c>
    </row>
    <row r="33" spans="2:20">
      <c r="B33" s="61" t="s">
        <v>180</v>
      </c>
      <c r="C33" s="64">
        <f t="shared" ref="C33:H33" si="4">C5*O33</f>
        <v>13.100000000000001</v>
      </c>
      <c r="D33" s="64">
        <f t="shared" si="4"/>
        <v>14.3</v>
      </c>
      <c r="E33" s="64">
        <f t="shared" si="4"/>
        <v>12.9</v>
      </c>
      <c r="F33" s="64">
        <f t="shared" si="4"/>
        <v>6</v>
      </c>
      <c r="G33" s="64">
        <f t="shared" si="4"/>
        <v>6.6000000000000005</v>
      </c>
      <c r="H33" s="64">
        <f t="shared" si="4"/>
        <v>0</v>
      </c>
      <c r="I33" s="65">
        <f>SUM(C33:H33)-MIN(F33:H33)</f>
        <v>52.900000000000006</v>
      </c>
      <c r="J33" s="66"/>
      <c r="K33" s="160"/>
      <c r="L33" s="161"/>
      <c r="M33" s="8"/>
      <c r="N33" s="61" t="s">
        <v>182</v>
      </c>
      <c r="O33" s="64">
        <v>0.1</v>
      </c>
      <c r="P33" s="64">
        <v>0.1</v>
      </c>
      <c r="Q33" s="64">
        <v>0.1</v>
      </c>
      <c r="R33" s="64">
        <v>0.1</v>
      </c>
      <c r="S33" s="64">
        <v>0.1</v>
      </c>
      <c r="T33" s="64">
        <v>0</v>
      </c>
    </row>
    <row r="34" spans="2:20">
      <c r="B34" s="10"/>
      <c r="C34" s="8"/>
      <c r="D34" s="8"/>
      <c r="E34" s="8"/>
      <c r="F34" s="11"/>
      <c r="G34" s="11"/>
      <c r="H34" s="38"/>
      <c r="I34" s="39"/>
      <c r="J34" s="40"/>
      <c r="K34" s="40"/>
      <c r="L34" s="9"/>
      <c r="M34" s="12"/>
      <c r="O34" s="10"/>
      <c r="Q34" s="8"/>
      <c r="R34" s="8"/>
      <c r="S34" s="8"/>
      <c r="T34" s="8"/>
    </row>
    <row r="35" spans="2:20">
      <c r="B35" s="10"/>
      <c r="F35" s="6"/>
      <c r="H35" s="30"/>
      <c r="I35" s="30"/>
      <c r="J35" s="40"/>
      <c r="K35" s="40"/>
      <c r="L35" s="9"/>
      <c r="M35" s="12"/>
      <c r="O35" s="10"/>
    </row>
    <row r="36" spans="2:20">
      <c r="B36" s="10"/>
      <c r="J36" s="40"/>
      <c r="K36" s="40"/>
      <c r="L36" s="9"/>
      <c r="M36" s="12"/>
      <c r="O36" s="10"/>
    </row>
    <row r="37" spans="2:20">
      <c r="B37" s="10"/>
      <c r="J37" s="40"/>
      <c r="K37" s="40"/>
      <c r="L37" s="9"/>
      <c r="M37" s="12"/>
      <c r="O37" s="10"/>
    </row>
    <row r="38" spans="2:20">
      <c r="B38" s="10"/>
      <c r="J38" s="40"/>
      <c r="K38" s="40"/>
      <c r="L38" s="9"/>
      <c r="M38" s="12"/>
      <c r="O38" s="10"/>
    </row>
    <row r="39" spans="2:20">
      <c r="J39" s="30"/>
      <c r="K39" s="30"/>
    </row>
  </sheetData>
  <sheetProtection algorithmName="SHA-512" hashValue="Gjk4wq1teXRZV6o6LWDOn2Ka2tOZ7rNJGR8Bn3qxedqCNiyXikwzS7AjO13U5Nelrfi1Bt+xde4+qZFYTDULdg==" saltValue="c+ig8eK1nY04X8Su3/pIHw==" spinCount="100000" sheet="1" objects="1" scenarios="1" selectLockedCells="1" selectUnlockedCells="1"/>
  <mergeCells count="2">
    <mergeCell ref="L3:S4"/>
    <mergeCell ref="L6:S6"/>
  </mergeCells>
  <phoneticPr fontId="1" type="noConversion"/>
  <pageMargins left="0.7" right="0.7" top="0.75" bottom="0.75" header="0.3" footer="0.3"/>
  <pageSetup paperSize="9" orientation="portrait" r:id="rId1"/>
  <ignoredErrors>
    <ignoredError sqref="C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표지</vt:lpstr>
      <vt:lpstr>점수입력</vt:lpstr>
      <vt:lpstr>칼레누적확인</vt:lpstr>
      <vt:lpstr>청솔누적확인</vt:lpstr>
      <vt:lpstr>칼레누적표</vt:lpstr>
      <vt:lpstr>청솔누적표</vt:lpstr>
      <vt:lpstr>청솔vlookup(2)</vt:lpstr>
      <vt:lpstr>오르비누적</vt:lpstr>
      <vt:lpstr>계산내역상세</vt:lpstr>
      <vt:lpstr>칼레계산sheet</vt:lpstr>
      <vt:lpstr>변환표준점수</vt:lpstr>
      <vt:lpstr>탐구계산Sheet</vt:lpstr>
      <vt:lpstr>Sheet3</vt:lpstr>
      <vt:lpstr>청솔vlookup</vt:lpstr>
      <vt:lpstr>대학별탐구변환표준점수</vt:lpstr>
      <vt:lpstr>표백자동계산</vt:lpstr>
      <vt:lpstr>외대식.madebyfreeodd</vt:lpstr>
      <vt:lpstr>서울대사탐변표</vt:lpstr>
      <vt:lpstr>서울대사탐교차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msdn_notebook</dc:creator>
  <cp:lastModifiedBy>msdn_notebook</cp:lastModifiedBy>
  <dcterms:created xsi:type="dcterms:W3CDTF">2013-11-09T11:50:35Z</dcterms:created>
  <dcterms:modified xsi:type="dcterms:W3CDTF">2013-12-27T04:22:00Z</dcterms:modified>
</cp:coreProperties>
</file>